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234ABC4C-9C62-4D31-A71F-2DBB6DFFC20C}" xr6:coauthVersionLast="47" xr6:coauthVersionMax="47" xr10:uidLastSave="{00000000-0000-0000-0000-000000000000}"/>
  <bookViews>
    <workbookView xWindow="-120" yWindow="-120" windowWidth="29040" windowHeight="15840" tabRatio="889" activeTab="15" xr2:uid="{00000000-000D-0000-FFFF-FFFF00000000}"/>
  </bookViews>
  <sheets>
    <sheet name="zał.1" sheetId="147" r:id="rId1"/>
    <sheet name="zał.2" sheetId="159" r:id="rId2"/>
    <sheet name="zał.3 " sheetId="160" r:id="rId3"/>
    <sheet name="zał.4 " sheetId="164" r:id="rId4"/>
    <sheet name="zał.5" sheetId="165" r:id="rId5"/>
    <sheet name="zał.6" sheetId="166" r:id="rId6"/>
    <sheet name="zał.7" sheetId="167" r:id="rId7"/>
    <sheet name="zał.8" sheetId="168" r:id="rId8"/>
    <sheet name="zał.9" sheetId="161" r:id="rId9"/>
    <sheet name="zał.10" sheetId="169" r:id="rId10"/>
    <sheet name="zał.11" sheetId="158" r:id="rId11"/>
    <sheet name="zał.12A" sheetId="162" r:id="rId12"/>
    <sheet name="zał.12B" sheetId="163" r:id="rId13"/>
    <sheet name="zał.13" sheetId="170" r:id="rId14"/>
    <sheet name="zał.14" sheetId="171" r:id="rId15"/>
    <sheet name="zał.15" sheetId="172" r:id="rId16"/>
  </sheets>
  <definedNames>
    <definedName name="_xlnm.Print_Area" localSheetId="0">zał.1!$A$1:$P$43</definedName>
    <definedName name="_xlnm.Print_Area" localSheetId="10">zał.11!$A$1:$E$154</definedName>
    <definedName name="_xlnm.Print_Area" localSheetId="1">zał.2!$A$1:$D$220</definedName>
    <definedName name="_xlnm.Print_Area" localSheetId="3">'zał.4 '!$A$1:$D$1334</definedName>
    <definedName name="_xlnm.Print_Area" localSheetId="4">zał.5!$A$1:$D$64</definedName>
    <definedName name="_xlnm.Print_Titles" localSheetId="0">zał.1!$7:$11</definedName>
    <definedName name="_xlnm.Print_Titles" localSheetId="9">zał.10!$7:$10</definedName>
    <definedName name="_xlnm.Print_Titles" localSheetId="10">zał.11!$8:$9</definedName>
    <definedName name="_xlnm.Print_Titles" localSheetId="11">zał.12A!$9:$12</definedName>
    <definedName name="_xlnm.Print_Titles" localSheetId="13">zał.13!$13:$15</definedName>
    <definedName name="_xlnm.Print_Titles" localSheetId="14">zał.14!$12:$14</definedName>
    <definedName name="_xlnm.Print_Titles" localSheetId="15">zał.15!$9:$11</definedName>
    <definedName name="_xlnm.Print_Titles" localSheetId="1">zał.2!$8:$9</definedName>
    <definedName name="_xlnm.Print_Titles" localSheetId="2">'zał.3 '!$8:$12</definedName>
    <definedName name="_xlnm.Print_Titles" localSheetId="3">'zał.4 '!$8:$9</definedName>
    <definedName name="_xlnm.Print_Titles" localSheetId="5">zał.6!$7:$13</definedName>
    <definedName name="_xlnm.Print_Titles" localSheetId="6">zał.7!$7:$13</definedName>
    <definedName name="_xlnm.Print_Titles" localSheetId="7">zał.8!$7:$13</definedName>
    <definedName name="_xlnm.Print_Titles" localSheetId="8">zał.9!$8:$12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59" l="1"/>
  <c r="D162" i="164" l="1"/>
  <c r="E44" i="158" l="1"/>
  <c r="E41" i="158" s="1"/>
  <c r="D42" i="158" l="1"/>
  <c r="D41" i="158" s="1"/>
  <c r="G28" i="172" l="1"/>
  <c r="G25" i="172"/>
  <c r="F25" i="172"/>
  <c r="E25" i="172"/>
  <c r="D25" i="172"/>
  <c r="G22" i="172"/>
  <c r="F22" i="172"/>
  <c r="E22" i="172"/>
  <c r="D22" i="172"/>
  <c r="G21" i="172"/>
  <c r="G20" i="172"/>
  <c r="G19" i="172"/>
  <c r="G18" i="172"/>
  <c r="G15" i="172"/>
  <c r="F15" i="172"/>
  <c r="F29" i="172" s="1"/>
  <c r="E15" i="172"/>
  <c r="E29" i="172" s="1"/>
  <c r="D15" i="172"/>
  <c r="D29" i="172" s="1"/>
  <c r="G14" i="172"/>
  <c r="G13" i="172"/>
  <c r="G12" i="172"/>
  <c r="G29" i="172" s="1"/>
  <c r="F15" i="171" l="1"/>
  <c r="E15" i="171"/>
  <c r="F16" i="170"/>
  <c r="E16" i="170"/>
  <c r="K176" i="169"/>
  <c r="H176" i="169"/>
  <c r="K175" i="169"/>
  <c r="H175" i="169"/>
  <c r="G175" i="169" s="1"/>
  <c r="K174" i="169"/>
  <c r="H174" i="169"/>
  <c r="G174" i="169"/>
  <c r="K173" i="169"/>
  <c r="H173" i="169"/>
  <c r="K172" i="169"/>
  <c r="H172" i="169"/>
  <c r="K171" i="169"/>
  <c r="H171" i="169"/>
  <c r="K170" i="169"/>
  <c r="H170" i="169"/>
  <c r="G170" i="169"/>
  <c r="K169" i="169"/>
  <c r="H169" i="169"/>
  <c r="G169" i="169" s="1"/>
  <c r="K168" i="169"/>
  <c r="H168" i="169"/>
  <c r="K167" i="169"/>
  <c r="H167" i="169"/>
  <c r="G167" i="169" s="1"/>
  <c r="K166" i="169"/>
  <c r="H166" i="169"/>
  <c r="G166" i="169" s="1"/>
  <c r="K165" i="169"/>
  <c r="H165" i="169"/>
  <c r="G165" i="169" s="1"/>
  <c r="K164" i="169"/>
  <c r="H164" i="169"/>
  <c r="K163" i="169"/>
  <c r="H163" i="169"/>
  <c r="G163" i="169" s="1"/>
  <c r="K162" i="169"/>
  <c r="H162" i="169"/>
  <c r="K161" i="169"/>
  <c r="H161" i="169"/>
  <c r="G161" i="169" s="1"/>
  <c r="K160" i="169"/>
  <c r="H160" i="169"/>
  <c r="K159" i="169"/>
  <c r="H159" i="169"/>
  <c r="G159" i="169" s="1"/>
  <c r="K158" i="169"/>
  <c r="H158" i="169"/>
  <c r="G158" i="169" s="1"/>
  <c r="K157" i="169"/>
  <c r="H157" i="169"/>
  <c r="K156" i="169"/>
  <c r="H156" i="169"/>
  <c r="K155" i="169"/>
  <c r="H155" i="169"/>
  <c r="K154" i="169"/>
  <c r="H154" i="169"/>
  <c r="K153" i="169"/>
  <c r="H153" i="169"/>
  <c r="K152" i="169"/>
  <c r="H152" i="169"/>
  <c r="K151" i="169"/>
  <c r="H151" i="169"/>
  <c r="K150" i="169"/>
  <c r="H150" i="169"/>
  <c r="G150" i="169" s="1"/>
  <c r="K149" i="169"/>
  <c r="H149" i="169"/>
  <c r="G149" i="169" s="1"/>
  <c r="K148" i="169"/>
  <c r="H148" i="169"/>
  <c r="K147" i="169"/>
  <c r="H147" i="169"/>
  <c r="G147" i="169" s="1"/>
  <c r="K146" i="169"/>
  <c r="H146" i="169"/>
  <c r="G146" i="169" s="1"/>
  <c r="K145" i="169"/>
  <c r="H145" i="169"/>
  <c r="G145" i="169" s="1"/>
  <c r="K144" i="169"/>
  <c r="H144" i="169"/>
  <c r="K143" i="169"/>
  <c r="H143" i="169"/>
  <c r="G143" i="169" s="1"/>
  <c r="K142" i="169"/>
  <c r="H142" i="169"/>
  <c r="G142" i="169" s="1"/>
  <c r="K141" i="169"/>
  <c r="H141" i="169"/>
  <c r="K140" i="169"/>
  <c r="H140" i="169"/>
  <c r="K139" i="169"/>
  <c r="H139" i="169"/>
  <c r="K138" i="169"/>
  <c r="H138" i="169"/>
  <c r="G138" i="169" s="1"/>
  <c r="K137" i="169"/>
  <c r="H137" i="169"/>
  <c r="K136" i="169"/>
  <c r="H136" i="169"/>
  <c r="K135" i="169"/>
  <c r="H135" i="169"/>
  <c r="G135" i="169" s="1"/>
  <c r="K134" i="169"/>
  <c r="H134" i="169"/>
  <c r="G134" i="169" s="1"/>
  <c r="K133" i="169"/>
  <c r="H133" i="169"/>
  <c r="G133" i="169" s="1"/>
  <c r="K132" i="169"/>
  <c r="H132" i="169"/>
  <c r="K131" i="169"/>
  <c r="H131" i="169"/>
  <c r="G131" i="169" s="1"/>
  <c r="K130" i="169"/>
  <c r="H130" i="169"/>
  <c r="K129" i="169"/>
  <c r="H129" i="169"/>
  <c r="G129" i="169" s="1"/>
  <c r="K128" i="169"/>
  <c r="H128" i="169"/>
  <c r="K127" i="169"/>
  <c r="H127" i="169"/>
  <c r="G127" i="169" s="1"/>
  <c r="K126" i="169"/>
  <c r="H126" i="169"/>
  <c r="G126" i="169" s="1"/>
  <c r="K125" i="169"/>
  <c r="H125" i="169"/>
  <c r="K124" i="169"/>
  <c r="H124" i="169"/>
  <c r="K123" i="169"/>
  <c r="H123" i="169"/>
  <c r="K122" i="169"/>
  <c r="G122" i="169" s="1"/>
  <c r="H122" i="169"/>
  <c r="K121" i="169"/>
  <c r="H121" i="169"/>
  <c r="K120" i="169"/>
  <c r="H120" i="169"/>
  <c r="K119" i="169"/>
  <c r="H119" i="169"/>
  <c r="G119" i="169" s="1"/>
  <c r="K118" i="169"/>
  <c r="H118" i="169"/>
  <c r="G118" i="169" s="1"/>
  <c r="K117" i="169"/>
  <c r="H117" i="169"/>
  <c r="G117" i="169" s="1"/>
  <c r="K116" i="169"/>
  <c r="H116" i="169"/>
  <c r="K115" i="169"/>
  <c r="H115" i="169"/>
  <c r="G115" i="169" s="1"/>
  <c r="K114" i="169"/>
  <c r="G114" i="169" s="1"/>
  <c r="H114" i="169"/>
  <c r="K113" i="169"/>
  <c r="H113" i="169"/>
  <c r="G113" i="169" s="1"/>
  <c r="K112" i="169"/>
  <c r="G112" i="169" s="1"/>
  <c r="H112" i="169"/>
  <c r="K111" i="169"/>
  <c r="H111" i="169"/>
  <c r="G111" i="169" s="1"/>
  <c r="K110" i="169"/>
  <c r="H110" i="169"/>
  <c r="G110" i="169" s="1"/>
  <c r="K109" i="169"/>
  <c r="H109" i="169"/>
  <c r="K108" i="169"/>
  <c r="H108" i="169"/>
  <c r="K107" i="169"/>
  <c r="H107" i="169"/>
  <c r="K106" i="169"/>
  <c r="H106" i="169"/>
  <c r="G106" i="169"/>
  <c r="K105" i="169"/>
  <c r="H105" i="169"/>
  <c r="G105" i="169" s="1"/>
  <c r="K104" i="169"/>
  <c r="H104" i="169"/>
  <c r="K103" i="169"/>
  <c r="H103" i="169"/>
  <c r="G103" i="169" s="1"/>
  <c r="K102" i="169"/>
  <c r="H102" i="169"/>
  <c r="G102" i="169" s="1"/>
  <c r="K101" i="169"/>
  <c r="H101" i="169"/>
  <c r="G101" i="169" s="1"/>
  <c r="K100" i="169"/>
  <c r="H100" i="169"/>
  <c r="K99" i="169"/>
  <c r="H99" i="169"/>
  <c r="G99" i="169" s="1"/>
  <c r="K98" i="169"/>
  <c r="H98" i="169"/>
  <c r="G98" i="169" s="1"/>
  <c r="K97" i="169"/>
  <c r="H97" i="169"/>
  <c r="G97" i="169" s="1"/>
  <c r="K96" i="169"/>
  <c r="H96" i="169"/>
  <c r="K95" i="169"/>
  <c r="H95" i="169"/>
  <c r="G95" i="169" s="1"/>
  <c r="K94" i="169"/>
  <c r="H94" i="169"/>
  <c r="G94" i="169" s="1"/>
  <c r="K93" i="169"/>
  <c r="H93" i="169"/>
  <c r="K92" i="169"/>
  <c r="H92" i="169"/>
  <c r="K91" i="169"/>
  <c r="H91" i="169"/>
  <c r="K90" i="169"/>
  <c r="H90" i="169"/>
  <c r="K89" i="169"/>
  <c r="H89" i="169"/>
  <c r="G89" i="169" s="1"/>
  <c r="K88" i="169"/>
  <c r="H88" i="169"/>
  <c r="K87" i="169"/>
  <c r="H87" i="169"/>
  <c r="G87" i="169" s="1"/>
  <c r="K86" i="169"/>
  <c r="H86" i="169"/>
  <c r="G86" i="169" s="1"/>
  <c r="K85" i="169"/>
  <c r="H85" i="169"/>
  <c r="G85" i="169" s="1"/>
  <c r="K84" i="169"/>
  <c r="H84" i="169"/>
  <c r="K83" i="169"/>
  <c r="H83" i="169"/>
  <c r="G83" i="169" s="1"/>
  <c r="K82" i="169"/>
  <c r="H82" i="169"/>
  <c r="G82" i="169" s="1"/>
  <c r="K81" i="169"/>
  <c r="H81" i="169"/>
  <c r="G81" i="169" s="1"/>
  <c r="K80" i="169"/>
  <c r="H80" i="169"/>
  <c r="K79" i="169"/>
  <c r="H79" i="169"/>
  <c r="G79" i="169" s="1"/>
  <c r="M77" i="169"/>
  <c r="L77" i="169"/>
  <c r="J77" i="169"/>
  <c r="I77" i="169"/>
  <c r="H77" i="169" s="1"/>
  <c r="K75" i="169"/>
  <c r="H75" i="169"/>
  <c r="G75" i="169" s="1"/>
  <c r="K74" i="169"/>
  <c r="H74" i="169"/>
  <c r="G74" i="169" s="1"/>
  <c r="K73" i="169"/>
  <c r="H73" i="169"/>
  <c r="G73" i="169" s="1"/>
  <c r="K72" i="169"/>
  <c r="H72" i="169"/>
  <c r="K71" i="169"/>
  <c r="H71" i="169"/>
  <c r="G71" i="169" s="1"/>
  <c r="K70" i="169"/>
  <c r="H70" i="169"/>
  <c r="K69" i="169"/>
  <c r="J69" i="169"/>
  <c r="H69" i="169" s="1"/>
  <c r="G69" i="169" s="1"/>
  <c r="K68" i="169"/>
  <c r="H68" i="169"/>
  <c r="G68" i="169" s="1"/>
  <c r="K67" i="169"/>
  <c r="H67" i="169"/>
  <c r="K66" i="169"/>
  <c r="H66" i="169"/>
  <c r="G66" i="169" s="1"/>
  <c r="K65" i="169"/>
  <c r="H65" i="169"/>
  <c r="G65" i="169" s="1"/>
  <c r="K64" i="169"/>
  <c r="H64" i="169"/>
  <c r="G64" i="169" s="1"/>
  <c r="K63" i="169"/>
  <c r="H63" i="169"/>
  <c r="K62" i="169"/>
  <c r="H62" i="169"/>
  <c r="G62" i="169" s="1"/>
  <c r="K61" i="169"/>
  <c r="H61" i="169"/>
  <c r="K60" i="169"/>
  <c r="H60" i="169"/>
  <c r="G60" i="169" s="1"/>
  <c r="M58" i="169"/>
  <c r="L58" i="169"/>
  <c r="L51" i="169" s="1"/>
  <c r="I58" i="169"/>
  <c r="K56" i="169"/>
  <c r="J56" i="169"/>
  <c r="H56" i="169" s="1"/>
  <c r="K55" i="169"/>
  <c r="H55" i="169"/>
  <c r="M53" i="169"/>
  <c r="L53" i="169"/>
  <c r="I53" i="169"/>
  <c r="K49" i="169"/>
  <c r="G49" i="169" s="1"/>
  <c r="H49" i="169"/>
  <c r="K48" i="169"/>
  <c r="H48" i="169"/>
  <c r="K47" i="169"/>
  <c r="H47" i="169"/>
  <c r="K46" i="169"/>
  <c r="H46" i="169"/>
  <c r="K45" i="169"/>
  <c r="H45" i="169"/>
  <c r="M44" i="169"/>
  <c r="L44" i="169"/>
  <c r="J44" i="169"/>
  <c r="I44" i="169"/>
  <c r="H44" i="169"/>
  <c r="K43" i="169"/>
  <c r="H43" i="169"/>
  <c r="G43" i="169" s="1"/>
  <c r="K42" i="169"/>
  <c r="H42" i="169"/>
  <c r="M41" i="169"/>
  <c r="L41" i="169"/>
  <c r="J41" i="169"/>
  <c r="I41" i="169"/>
  <c r="K40" i="169"/>
  <c r="H40" i="169"/>
  <c r="G40" i="169" s="1"/>
  <c r="K39" i="169"/>
  <c r="H39" i="169"/>
  <c r="G39" i="169" s="1"/>
  <c r="K38" i="169"/>
  <c r="H38" i="169"/>
  <c r="G38" i="169" s="1"/>
  <c r="K37" i="169"/>
  <c r="H37" i="169"/>
  <c r="K36" i="169"/>
  <c r="H36" i="169"/>
  <c r="G36" i="169" s="1"/>
  <c r="K35" i="169"/>
  <c r="H35" i="169"/>
  <c r="G35" i="169" s="1"/>
  <c r="M34" i="169"/>
  <c r="L34" i="169"/>
  <c r="J34" i="169"/>
  <c r="I34" i="169"/>
  <c r="K33" i="169"/>
  <c r="H33" i="169"/>
  <c r="K32" i="169"/>
  <c r="H32" i="169"/>
  <c r="K31" i="169"/>
  <c r="H31" i="169"/>
  <c r="K30" i="169"/>
  <c r="H30" i="169"/>
  <c r="K29" i="169"/>
  <c r="H29" i="169"/>
  <c r="K28" i="169"/>
  <c r="H28" i="169"/>
  <c r="K27" i="169"/>
  <c r="H27" i="169"/>
  <c r="G27" i="169" s="1"/>
  <c r="K26" i="169"/>
  <c r="H26" i="169"/>
  <c r="K20" i="169"/>
  <c r="G20" i="169" s="1"/>
  <c r="H20" i="169"/>
  <c r="K19" i="169"/>
  <c r="H19" i="169"/>
  <c r="K18" i="169"/>
  <c r="H18" i="169"/>
  <c r="K17" i="169"/>
  <c r="H17" i="169"/>
  <c r="K16" i="169"/>
  <c r="H16" i="169"/>
  <c r="G16" i="169" s="1"/>
  <c r="M14" i="169"/>
  <c r="L14" i="169"/>
  <c r="J14" i="169"/>
  <c r="I14" i="169"/>
  <c r="G47" i="169" l="1"/>
  <c r="K77" i="169"/>
  <c r="G90" i="169"/>
  <c r="G154" i="169"/>
  <c r="I24" i="169"/>
  <c r="I22" i="169" s="1"/>
  <c r="G77" i="169"/>
  <c r="G17" i="169"/>
  <c r="G19" i="169"/>
  <c r="G48" i="169"/>
  <c r="G55" i="169"/>
  <c r="G96" i="169"/>
  <c r="G100" i="169"/>
  <c r="G130" i="169"/>
  <c r="G31" i="169"/>
  <c r="G33" i="169"/>
  <c r="M24" i="169"/>
  <c r="M22" i="169" s="1"/>
  <c r="G70" i="169"/>
  <c r="G72" i="169"/>
  <c r="G128" i="169"/>
  <c r="G132" i="169"/>
  <c r="G160" i="169"/>
  <c r="G162" i="169"/>
  <c r="G164" i="169"/>
  <c r="G28" i="169"/>
  <c r="G30" i="169"/>
  <c r="G32" i="169"/>
  <c r="K53" i="169"/>
  <c r="G61" i="169"/>
  <c r="G63" i="169"/>
  <c r="G80" i="169"/>
  <c r="G84" i="169"/>
  <c r="G116" i="169"/>
  <c r="G144" i="169"/>
  <c r="G148" i="169"/>
  <c r="G176" i="169"/>
  <c r="G67" i="169"/>
  <c r="G88" i="169"/>
  <c r="G104" i="169"/>
  <c r="J24" i="169"/>
  <c r="J22" i="169" s="1"/>
  <c r="K41" i="169"/>
  <c r="G45" i="169"/>
  <c r="G92" i="169"/>
  <c r="G108" i="169"/>
  <c r="G121" i="169"/>
  <c r="G124" i="169"/>
  <c r="G137" i="169"/>
  <c r="G140" i="169"/>
  <c r="G151" i="169"/>
  <c r="G153" i="169"/>
  <c r="G156" i="169"/>
  <c r="G172" i="169"/>
  <c r="G120" i="169"/>
  <c r="G136" i="169"/>
  <c r="G152" i="169"/>
  <c r="G168" i="169"/>
  <c r="K14" i="169"/>
  <c r="G18" i="169"/>
  <c r="G26" i="169"/>
  <c r="G29" i="169"/>
  <c r="K34" i="169"/>
  <c r="G37" i="169"/>
  <c r="H41" i="169"/>
  <c r="G42" i="169"/>
  <c r="K44" i="169"/>
  <c r="G44" i="169" s="1"/>
  <c r="G46" i="169"/>
  <c r="G56" i="169"/>
  <c r="M51" i="169"/>
  <c r="K51" i="169" s="1"/>
  <c r="G91" i="169"/>
  <c r="G93" i="169"/>
  <c r="G107" i="169"/>
  <c r="G109" i="169"/>
  <c r="G123" i="169"/>
  <c r="G125" i="169"/>
  <c r="G139" i="169"/>
  <c r="G141" i="169"/>
  <c r="G155" i="169"/>
  <c r="G157" i="169"/>
  <c r="G171" i="169"/>
  <c r="G173" i="169"/>
  <c r="H22" i="169"/>
  <c r="H14" i="169"/>
  <c r="H34" i="169"/>
  <c r="K58" i="169"/>
  <c r="H24" i="169"/>
  <c r="L24" i="169"/>
  <c r="I51" i="169"/>
  <c r="I12" i="169" s="1"/>
  <c r="J53" i="169"/>
  <c r="H53" i="169" s="1"/>
  <c r="G53" i="169" s="1"/>
  <c r="J58" i="169"/>
  <c r="G41" i="169" l="1"/>
  <c r="M12" i="169"/>
  <c r="M178" i="169" s="1"/>
  <c r="G34" i="169"/>
  <c r="G14" i="169"/>
  <c r="J51" i="169"/>
  <c r="J12" i="169" s="1"/>
  <c r="J178" i="169" s="1"/>
  <c r="K24" i="169"/>
  <c r="G24" i="169" s="1"/>
  <c r="L22" i="169"/>
  <c r="I178" i="169"/>
  <c r="H12" i="169"/>
  <c r="H58" i="169"/>
  <c r="G58" i="169" s="1"/>
  <c r="H51" i="169" l="1"/>
  <c r="G51" i="169" s="1"/>
  <c r="H178" i="169"/>
  <c r="K22" i="169"/>
  <c r="G22" i="169" s="1"/>
  <c r="L12" i="169"/>
  <c r="L178" i="169" l="1"/>
  <c r="K12" i="169"/>
  <c r="K178" i="169" l="1"/>
  <c r="G12" i="169"/>
  <c r="G178" i="169" s="1"/>
  <c r="H61" i="168" l="1"/>
  <c r="G61" i="168"/>
  <c r="H60" i="168"/>
  <c r="G60" i="168"/>
  <c r="H59" i="168"/>
  <c r="G59" i="168"/>
  <c r="H58" i="168"/>
  <c r="G58" i="168"/>
  <c r="V57" i="168"/>
  <c r="U57" i="168"/>
  <c r="S57" i="168"/>
  <c r="R57" i="168"/>
  <c r="P57" i="168"/>
  <c r="O57" i="168"/>
  <c r="L57" i="168"/>
  <c r="K57" i="168"/>
  <c r="T52" i="168"/>
  <c r="Q52" i="168"/>
  <c r="N52" i="168"/>
  <c r="J52" i="168"/>
  <c r="H52" i="168"/>
  <c r="G52" i="168"/>
  <c r="T47" i="168"/>
  <c r="Q47" i="168"/>
  <c r="N47" i="168"/>
  <c r="J47" i="168"/>
  <c r="H47" i="168"/>
  <c r="G47" i="168"/>
  <c r="T42" i="168"/>
  <c r="Q42" i="168"/>
  <c r="N42" i="168"/>
  <c r="J42" i="168"/>
  <c r="H42" i="168"/>
  <c r="G42" i="168"/>
  <c r="T37" i="168"/>
  <c r="Q37" i="168"/>
  <c r="N37" i="168"/>
  <c r="J37" i="168"/>
  <c r="H37" i="168"/>
  <c r="G37" i="168"/>
  <c r="T32" i="168"/>
  <c r="Q32" i="168"/>
  <c r="N32" i="168"/>
  <c r="J32" i="168"/>
  <c r="H32" i="168"/>
  <c r="G32" i="168"/>
  <c r="T27" i="168"/>
  <c r="Q27" i="168"/>
  <c r="N27" i="168"/>
  <c r="J27" i="168"/>
  <c r="H27" i="168"/>
  <c r="G27" i="168"/>
  <c r="T22" i="168"/>
  <c r="Q22" i="168"/>
  <c r="N22" i="168"/>
  <c r="J22" i="168"/>
  <c r="H22" i="168"/>
  <c r="G22" i="168"/>
  <c r="T17" i="168"/>
  <c r="Q17" i="168"/>
  <c r="N17" i="168"/>
  <c r="J17" i="168"/>
  <c r="H17" i="168"/>
  <c r="G17" i="168"/>
  <c r="V168" i="167"/>
  <c r="U168" i="167"/>
  <c r="S168" i="167"/>
  <c r="R168" i="167"/>
  <c r="P168" i="167"/>
  <c r="O168" i="167"/>
  <c r="L168" i="167"/>
  <c r="K168" i="167"/>
  <c r="T163" i="167"/>
  <c r="Q163" i="167"/>
  <c r="N163" i="167"/>
  <c r="J163" i="167"/>
  <c r="T158" i="167"/>
  <c r="Q158" i="167"/>
  <c r="N158" i="167"/>
  <c r="J158" i="167"/>
  <c r="T153" i="167"/>
  <c r="Q153" i="167"/>
  <c r="N153" i="167"/>
  <c r="J153" i="167"/>
  <c r="T148" i="167"/>
  <c r="Q148" i="167"/>
  <c r="Q168" i="167" s="1"/>
  <c r="N148" i="167"/>
  <c r="N168" i="167" s="1"/>
  <c r="J148" i="167"/>
  <c r="H144" i="167"/>
  <c r="G144" i="167"/>
  <c r="H143" i="167"/>
  <c r="G143" i="167"/>
  <c r="H142" i="167"/>
  <c r="G142" i="167"/>
  <c r="H141" i="167"/>
  <c r="G141" i="167"/>
  <c r="V140" i="167"/>
  <c r="U140" i="167"/>
  <c r="S140" i="167"/>
  <c r="R140" i="167"/>
  <c r="P140" i="167"/>
  <c r="O140" i="167"/>
  <c r="L140" i="167"/>
  <c r="K140" i="167"/>
  <c r="T135" i="167"/>
  <c r="Q135" i="167"/>
  <c r="N135" i="167"/>
  <c r="J135" i="167"/>
  <c r="H135" i="167"/>
  <c r="G135" i="167"/>
  <c r="T130" i="167"/>
  <c r="Q130" i="167"/>
  <c r="N130" i="167"/>
  <c r="J130" i="167"/>
  <c r="H130" i="167"/>
  <c r="G130" i="167"/>
  <c r="T125" i="167"/>
  <c r="Q125" i="167"/>
  <c r="N125" i="167"/>
  <c r="J125" i="167"/>
  <c r="H125" i="167"/>
  <c r="G125" i="167"/>
  <c r="T120" i="167"/>
  <c r="Q120" i="167"/>
  <c r="N120" i="167"/>
  <c r="J120" i="167"/>
  <c r="H120" i="167"/>
  <c r="G120" i="167"/>
  <c r="T115" i="167"/>
  <c r="Q115" i="167"/>
  <c r="N115" i="167"/>
  <c r="J115" i="167"/>
  <c r="H115" i="167"/>
  <c r="G115" i="167"/>
  <c r="T110" i="167"/>
  <c r="T140" i="167" s="1"/>
  <c r="Q110" i="167"/>
  <c r="N110" i="167"/>
  <c r="J110" i="167"/>
  <c r="H110" i="167"/>
  <c r="H140" i="167" s="1"/>
  <c r="G110" i="167"/>
  <c r="H106" i="167"/>
  <c r="G106" i="167"/>
  <c r="H105" i="167"/>
  <c r="G105" i="167"/>
  <c r="H104" i="167"/>
  <c r="G104" i="167"/>
  <c r="H103" i="167"/>
  <c r="G103" i="167"/>
  <c r="V102" i="167"/>
  <c r="U102" i="167"/>
  <c r="S102" i="167"/>
  <c r="R102" i="167"/>
  <c r="P102" i="167"/>
  <c r="O102" i="167"/>
  <c r="L102" i="167"/>
  <c r="K102" i="167"/>
  <c r="T97" i="167"/>
  <c r="Q97" i="167"/>
  <c r="N97" i="167"/>
  <c r="J97" i="167"/>
  <c r="H97" i="167"/>
  <c r="G97" i="167"/>
  <c r="T92" i="167"/>
  <c r="Q92" i="167"/>
  <c r="N92" i="167"/>
  <c r="J92" i="167"/>
  <c r="H92" i="167"/>
  <c r="G92" i="167"/>
  <c r="T87" i="167"/>
  <c r="Q87" i="167"/>
  <c r="N87" i="167"/>
  <c r="J87" i="167"/>
  <c r="H87" i="167"/>
  <c r="G87" i="167"/>
  <c r="T82" i="167"/>
  <c r="Q82" i="167"/>
  <c r="N82" i="167"/>
  <c r="J82" i="167"/>
  <c r="H82" i="167"/>
  <c r="G82" i="167"/>
  <c r="T77" i="167"/>
  <c r="Q77" i="167"/>
  <c r="N77" i="167"/>
  <c r="J77" i="167"/>
  <c r="H77" i="167"/>
  <c r="G77" i="167"/>
  <c r="T72" i="167"/>
  <c r="Q72" i="167"/>
  <c r="N72" i="167"/>
  <c r="J72" i="167"/>
  <c r="H72" i="167"/>
  <c r="G72" i="167"/>
  <c r="T67" i="167"/>
  <c r="Q67" i="167"/>
  <c r="N67" i="167"/>
  <c r="J67" i="167"/>
  <c r="H67" i="167"/>
  <c r="G67" i="167"/>
  <c r="T62" i="167"/>
  <c r="Q62" i="167"/>
  <c r="N62" i="167"/>
  <c r="J62" i="167"/>
  <c r="H62" i="167"/>
  <c r="G62" i="167"/>
  <c r="T57" i="167"/>
  <c r="Q57" i="167"/>
  <c r="N57" i="167"/>
  <c r="J57" i="167"/>
  <c r="H57" i="167"/>
  <c r="G57" i="167"/>
  <c r="T52" i="167"/>
  <c r="Q52" i="167"/>
  <c r="N52" i="167"/>
  <c r="J52" i="167"/>
  <c r="H52" i="167"/>
  <c r="G52" i="167"/>
  <c r="T47" i="167"/>
  <c r="Q47" i="167"/>
  <c r="N47" i="167"/>
  <c r="J47" i="167"/>
  <c r="H47" i="167"/>
  <c r="G47" i="167"/>
  <c r="T42" i="167"/>
  <c r="Q42" i="167"/>
  <c r="N42" i="167"/>
  <c r="J42" i="167"/>
  <c r="H42" i="167"/>
  <c r="G42" i="167"/>
  <c r="T37" i="167"/>
  <c r="Q37" i="167"/>
  <c r="N37" i="167"/>
  <c r="J37" i="167"/>
  <c r="H37" i="167"/>
  <c r="G37" i="167"/>
  <c r="T32" i="167"/>
  <c r="Q32" i="167"/>
  <c r="N32" i="167"/>
  <c r="J32" i="167"/>
  <c r="H32" i="167"/>
  <c r="G32" i="167"/>
  <c r="T27" i="167"/>
  <c r="Q27" i="167"/>
  <c r="N27" i="167"/>
  <c r="J27" i="167"/>
  <c r="H27" i="167"/>
  <c r="G27" i="167"/>
  <c r="T22" i="167"/>
  <c r="Q22" i="167"/>
  <c r="N22" i="167"/>
  <c r="J22" i="167"/>
  <c r="H22" i="167"/>
  <c r="G22" i="167"/>
  <c r="T17" i="167"/>
  <c r="T102" i="167" s="1"/>
  <c r="Q17" i="167"/>
  <c r="N17" i="167"/>
  <c r="J17" i="167"/>
  <c r="H17" i="167"/>
  <c r="H102" i="167" s="1"/>
  <c r="G17" i="167"/>
  <c r="W27" i="166"/>
  <c r="W32" i="166" s="1"/>
  <c r="V27" i="166"/>
  <c r="V32" i="166" s="1"/>
  <c r="T27" i="166"/>
  <c r="T32" i="166" s="1"/>
  <c r="S27" i="166"/>
  <c r="S32" i="166" s="1"/>
  <c r="Q27" i="166"/>
  <c r="Q32" i="166" s="1"/>
  <c r="P27" i="166"/>
  <c r="P32" i="166" s="1"/>
  <c r="M27" i="166"/>
  <c r="M32" i="166" s="1"/>
  <c r="L27" i="166"/>
  <c r="L32" i="166" s="1"/>
  <c r="U22" i="166"/>
  <c r="R22" i="166"/>
  <c r="O22" i="166"/>
  <c r="K22" i="166"/>
  <c r="U17" i="166"/>
  <c r="U27" i="166" s="1"/>
  <c r="U32" i="166" s="1"/>
  <c r="R17" i="166"/>
  <c r="O17" i="166"/>
  <c r="K17" i="166"/>
  <c r="K27" i="166" s="1"/>
  <c r="K32" i="166" s="1"/>
  <c r="G176" i="167" l="1"/>
  <c r="G102" i="167"/>
  <c r="Q102" i="167"/>
  <c r="J140" i="167"/>
  <c r="M22" i="167"/>
  <c r="M32" i="167"/>
  <c r="M42" i="167"/>
  <c r="M52" i="167"/>
  <c r="M62" i="167"/>
  <c r="M72" i="167"/>
  <c r="M82" i="167"/>
  <c r="M92" i="167"/>
  <c r="N57" i="168"/>
  <c r="O27" i="166"/>
  <c r="O32" i="166" s="1"/>
  <c r="N17" i="166"/>
  <c r="H175" i="167"/>
  <c r="H177" i="167"/>
  <c r="M158" i="167"/>
  <c r="G174" i="167"/>
  <c r="U173" i="167"/>
  <c r="M115" i="167"/>
  <c r="I115" i="167" s="1"/>
  <c r="M125" i="167"/>
  <c r="I125" i="167" s="1"/>
  <c r="M135" i="167"/>
  <c r="I135" i="167" s="1"/>
  <c r="O173" i="167"/>
  <c r="I22" i="167"/>
  <c r="I32" i="167"/>
  <c r="I42" i="167"/>
  <c r="I52" i="167"/>
  <c r="I62" i="167"/>
  <c r="I72" i="167"/>
  <c r="I82" i="167"/>
  <c r="I92" i="167"/>
  <c r="K173" i="167"/>
  <c r="V173" i="167"/>
  <c r="M22" i="168"/>
  <c r="I22" i="168" s="1"/>
  <c r="M32" i="168"/>
  <c r="I32" i="168" s="1"/>
  <c r="M42" i="168"/>
  <c r="I42" i="168" s="1"/>
  <c r="M52" i="168"/>
  <c r="I52" i="168" s="1"/>
  <c r="J102" i="167"/>
  <c r="M120" i="167"/>
  <c r="I120" i="167" s="1"/>
  <c r="M130" i="167"/>
  <c r="I130" i="167" s="1"/>
  <c r="M153" i="167"/>
  <c r="I153" i="167" s="1"/>
  <c r="M163" i="167"/>
  <c r="I163" i="167" s="1"/>
  <c r="R173" i="167"/>
  <c r="G57" i="168"/>
  <c r="Q57" i="168"/>
  <c r="N22" i="166"/>
  <c r="J22" i="166" s="1"/>
  <c r="M27" i="167"/>
  <c r="I27" i="167" s="1"/>
  <c r="M37" i="167"/>
  <c r="I37" i="167" s="1"/>
  <c r="M47" i="167"/>
  <c r="I47" i="167" s="1"/>
  <c r="M57" i="167"/>
  <c r="I57" i="167" s="1"/>
  <c r="M67" i="167"/>
  <c r="I67" i="167" s="1"/>
  <c r="M77" i="167"/>
  <c r="I77" i="167" s="1"/>
  <c r="M87" i="167"/>
  <c r="I87" i="167" s="1"/>
  <c r="M97" i="167"/>
  <c r="I97" i="167" s="1"/>
  <c r="G140" i="167"/>
  <c r="G173" i="167" s="1"/>
  <c r="Q140" i="167"/>
  <c r="Q173" i="167" s="1"/>
  <c r="G175" i="167"/>
  <c r="G177" i="167"/>
  <c r="S173" i="167"/>
  <c r="H57" i="168"/>
  <c r="T57" i="168"/>
  <c r="M27" i="168"/>
  <c r="I27" i="168" s="1"/>
  <c r="M37" i="168"/>
  <c r="I37" i="168" s="1"/>
  <c r="M47" i="168"/>
  <c r="I47" i="168" s="1"/>
  <c r="J57" i="168"/>
  <c r="M17" i="168"/>
  <c r="H173" i="167"/>
  <c r="L173" i="167"/>
  <c r="T168" i="167"/>
  <c r="T173" i="167" s="1"/>
  <c r="M148" i="167"/>
  <c r="M168" i="167" s="1"/>
  <c r="I158" i="167"/>
  <c r="J168" i="167"/>
  <c r="M17" i="167"/>
  <c r="N102" i="167"/>
  <c r="M110" i="167"/>
  <c r="N140" i="167"/>
  <c r="H174" i="167"/>
  <c r="H176" i="167"/>
  <c r="P173" i="167"/>
  <c r="J17" i="166"/>
  <c r="J27" i="166" s="1"/>
  <c r="J32" i="166" s="1"/>
  <c r="R27" i="166"/>
  <c r="R32" i="166" s="1"/>
  <c r="N173" i="167" l="1"/>
  <c r="N27" i="166"/>
  <c r="N32" i="166" s="1"/>
  <c r="J173" i="167"/>
  <c r="M57" i="168"/>
  <c r="I148" i="167"/>
  <c r="I168" i="167" s="1"/>
  <c r="I17" i="168"/>
  <c r="I57" i="168" s="1"/>
  <c r="M140" i="167"/>
  <c r="I110" i="167"/>
  <c r="I140" i="167" s="1"/>
  <c r="M102" i="167"/>
  <c r="I17" i="167"/>
  <c r="I102" i="167" s="1"/>
  <c r="D59" i="165"/>
  <c r="D57" i="165"/>
  <c r="D54" i="165"/>
  <c r="D49" i="165"/>
  <c r="D45" i="165"/>
  <c r="D44" i="165"/>
  <c r="D43" i="165"/>
  <c r="D42" i="165"/>
  <c r="D41" i="165" s="1"/>
  <c r="D32" i="165"/>
  <c r="D28" i="165"/>
  <c r="D50" i="165" s="1"/>
  <c r="D22" i="165"/>
  <c r="D19" i="165"/>
  <c r="D61" i="165" s="1"/>
  <c r="D16" i="165"/>
  <c r="D55" i="165" s="1"/>
  <c r="D12" i="165"/>
  <c r="D53" i="165" s="1"/>
  <c r="D1321" i="164"/>
  <c r="D1320" i="164"/>
  <c r="D1292" i="164"/>
  <c r="D1291" i="164" s="1"/>
  <c r="D1279" i="164"/>
  <c r="D1273" i="164"/>
  <c r="D1268" i="164"/>
  <c r="D1264" i="164"/>
  <c r="D1262" i="164"/>
  <c r="D1258" i="164"/>
  <c r="D1254" i="164"/>
  <c r="D1251" i="164"/>
  <c r="D1247" i="164"/>
  <c r="D1245" i="164"/>
  <c r="D1211" i="164"/>
  <c r="D1203" i="164"/>
  <c r="D1201" i="164"/>
  <c r="D1193" i="164"/>
  <c r="D1183" i="164"/>
  <c r="D1181" i="164"/>
  <c r="D1174" i="164"/>
  <c r="D1168" i="164" s="1"/>
  <c r="D1169" i="164"/>
  <c r="D1161" i="164"/>
  <c r="D1138" i="164"/>
  <c r="D1137" i="164" s="1"/>
  <c r="D1131" i="164"/>
  <c r="D1129" i="164"/>
  <c r="D1113" i="164"/>
  <c r="D1111" i="164"/>
  <c r="D1092" i="164"/>
  <c r="D1076" i="164"/>
  <c r="D1058" i="164"/>
  <c r="D1031" i="164"/>
  <c r="D971" i="164"/>
  <c r="D906" i="164"/>
  <c r="D886" i="164"/>
  <c r="D875" i="164"/>
  <c r="D871" i="164"/>
  <c r="D829" i="164"/>
  <c r="D824" i="164"/>
  <c r="D795" i="164"/>
  <c r="D785" i="164"/>
  <c r="D783" i="164"/>
  <c r="D742" i="164"/>
  <c r="D740" i="164"/>
  <c r="D733" i="164"/>
  <c r="D727" i="164"/>
  <c r="D713" i="164"/>
  <c r="D711" i="164"/>
  <c r="D706" i="164"/>
  <c r="D684" i="164"/>
  <c r="D666" i="164"/>
  <c r="D642" i="164"/>
  <c r="D618" i="164"/>
  <c r="D597" i="164"/>
  <c r="D576" i="164"/>
  <c r="D558" i="164"/>
  <c r="D535" i="164"/>
  <c r="D533" i="164"/>
  <c r="D518" i="164"/>
  <c r="D515" i="164"/>
  <c r="D492" i="164"/>
  <c r="D488" i="164"/>
  <c r="D487" i="164" s="1"/>
  <c r="D484" i="164"/>
  <c r="D482" i="164"/>
  <c r="D476" i="164"/>
  <c r="D475" i="164" s="1"/>
  <c r="D472" i="164"/>
  <c r="D471" i="164" s="1"/>
  <c r="D420" i="164"/>
  <c r="D409" i="164"/>
  <c r="D396" i="164"/>
  <c r="D383" i="164"/>
  <c r="D300" i="164"/>
  <c r="D285" i="164"/>
  <c r="D282" i="164"/>
  <c r="D281" i="164" s="1"/>
  <c r="D270" i="164"/>
  <c r="D269" i="164"/>
  <c r="D263" i="164"/>
  <c r="D257" i="164"/>
  <c r="D252" i="164"/>
  <c r="D230" i="164"/>
  <c r="D217" i="164"/>
  <c r="D216" i="164" s="1"/>
  <c r="D204" i="164"/>
  <c r="D203" i="164" s="1"/>
  <c r="D192" i="164"/>
  <c r="D190" i="164"/>
  <c r="D188" i="164"/>
  <c r="D186" i="164"/>
  <c r="D184" i="164"/>
  <c r="D160" i="164"/>
  <c r="D154" i="164"/>
  <c r="D152" i="164"/>
  <c r="D144" i="164"/>
  <c r="D108" i="164"/>
  <c r="D107" i="164" s="1"/>
  <c r="D102" i="164"/>
  <c r="D75" i="164"/>
  <c r="D74" i="164" s="1"/>
  <c r="D67" i="164"/>
  <c r="D56" i="164"/>
  <c r="D16" i="164"/>
  <c r="D14" i="164"/>
  <c r="D12" i="164"/>
  <c r="D229" i="164" l="1"/>
  <c r="D284" i="164"/>
  <c r="M173" i="167"/>
  <c r="I173" i="167"/>
  <c r="D782" i="164"/>
  <c r="D40" i="165"/>
  <c r="D481" i="164"/>
  <c r="D705" i="164"/>
  <c r="D870" i="164"/>
  <c r="D1030" i="164"/>
  <c r="D1244" i="164"/>
  <c r="D11" i="164"/>
  <c r="D143" i="164"/>
  <c r="D491" i="164"/>
  <c r="D15" i="165"/>
  <c r="D25" i="165" s="1"/>
  <c r="D27" i="165"/>
  <c r="D51" i="165"/>
  <c r="D56" i="165"/>
  <c r="D58" i="165" s="1"/>
  <c r="D60" i="165" s="1"/>
  <c r="D64" i="165" s="1"/>
  <c r="D10" i="164" l="1"/>
  <c r="D38" i="165"/>
  <c r="D34" i="165"/>
  <c r="D36" i="165"/>
  <c r="C33" i="163"/>
  <c r="C31" i="163" s="1"/>
  <c r="C29" i="163" s="1"/>
  <c r="E31" i="163"/>
  <c r="D31" i="163"/>
  <c r="D29" i="163" s="1"/>
  <c r="E29" i="163"/>
  <c r="C27" i="163"/>
  <c r="E25" i="163"/>
  <c r="E23" i="163" s="1"/>
  <c r="D25" i="163"/>
  <c r="D23" i="163" s="1"/>
  <c r="C25" i="163"/>
  <c r="C23" i="163" s="1"/>
  <c r="C21" i="163"/>
  <c r="C19" i="163" s="1"/>
  <c r="C17" i="163" s="1"/>
  <c r="E19" i="163"/>
  <c r="E17" i="163" s="1"/>
  <c r="D19" i="163"/>
  <c r="D17" i="163"/>
  <c r="C15" i="163"/>
  <c r="C13" i="163" s="1"/>
  <c r="C11" i="163" s="1"/>
  <c r="E13" i="163"/>
  <c r="E11" i="163" s="1"/>
  <c r="D13" i="163"/>
  <c r="D11" i="163" s="1"/>
  <c r="I202" i="162"/>
  <c r="H202" i="162"/>
  <c r="I200" i="162"/>
  <c r="I198" i="162"/>
  <c r="G194" i="162"/>
  <c r="C192" i="162"/>
  <c r="C190" i="162" s="1"/>
  <c r="I190" i="162"/>
  <c r="I188" i="162" s="1"/>
  <c r="H190" i="162"/>
  <c r="G190" i="162"/>
  <c r="G188" i="162" s="1"/>
  <c r="E190" i="162"/>
  <c r="E188" i="162" s="1"/>
  <c r="D190" i="162"/>
  <c r="D188" i="162" s="1"/>
  <c r="H188" i="162"/>
  <c r="C188" i="162"/>
  <c r="G186" i="162"/>
  <c r="C184" i="162"/>
  <c r="C182" i="162" s="1"/>
  <c r="I182" i="162"/>
  <c r="H182" i="162"/>
  <c r="G182" i="162"/>
  <c r="E182" i="162"/>
  <c r="D182" i="162"/>
  <c r="G180" i="162"/>
  <c r="C178" i="162"/>
  <c r="C176" i="162" s="1"/>
  <c r="I176" i="162"/>
  <c r="I174" i="162" s="1"/>
  <c r="H176" i="162"/>
  <c r="G176" i="162"/>
  <c r="G174" i="162" s="1"/>
  <c r="E176" i="162"/>
  <c r="D176" i="162"/>
  <c r="D174" i="162" s="1"/>
  <c r="G172" i="162"/>
  <c r="H170" i="162"/>
  <c r="C168" i="162"/>
  <c r="I166" i="162"/>
  <c r="I164" i="162" s="1"/>
  <c r="E166" i="162"/>
  <c r="E164" i="162" s="1"/>
  <c r="D166" i="162"/>
  <c r="D164" i="162" s="1"/>
  <c r="C166" i="162"/>
  <c r="C164" i="162" s="1"/>
  <c r="G162" i="162"/>
  <c r="C160" i="162"/>
  <c r="C158" i="162" s="1"/>
  <c r="C156" i="162" s="1"/>
  <c r="I158" i="162"/>
  <c r="I156" i="162" s="1"/>
  <c r="H158" i="162"/>
  <c r="G158" i="162"/>
  <c r="G156" i="162" s="1"/>
  <c r="E158" i="162"/>
  <c r="E156" i="162" s="1"/>
  <c r="D158" i="162"/>
  <c r="D156" i="162" s="1"/>
  <c r="H156" i="162"/>
  <c r="H152" i="162"/>
  <c r="H150" i="162"/>
  <c r="G150" i="162" s="1"/>
  <c r="C148" i="162"/>
  <c r="C146" i="162" s="1"/>
  <c r="I146" i="162"/>
  <c r="E146" i="162"/>
  <c r="D146" i="162"/>
  <c r="G144" i="162"/>
  <c r="C142" i="162"/>
  <c r="C140" i="162" s="1"/>
  <c r="C138" i="162" s="1"/>
  <c r="C136" i="162" s="1"/>
  <c r="I140" i="162"/>
  <c r="H140" i="162"/>
  <c r="G140" i="162"/>
  <c r="E140" i="162"/>
  <c r="D140" i="162"/>
  <c r="G134" i="162"/>
  <c r="G132" i="162"/>
  <c r="C130" i="162"/>
  <c r="C128" i="162" s="1"/>
  <c r="C126" i="162" s="1"/>
  <c r="C124" i="162" s="1"/>
  <c r="I128" i="162"/>
  <c r="H128" i="162"/>
  <c r="H126" i="162" s="1"/>
  <c r="H124" i="162" s="1"/>
  <c r="E128" i="162"/>
  <c r="E126" i="162" s="1"/>
  <c r="E124" i="162" s="1"/>
  <c r="D128" i="162"/>
  <c r="D126" i="162" s="1"/>
  <c r="D124" i="162" s="1"/>
  <c r="I126" i="162"/>
  <c r="I124" i="162" s="1"/>
  <c r="G122" i="162"/>
  <c r="C120" i="162"/>
  <c r="C118" i="162" s="1"/>
  <c r="C116" i="162" s="1"/>
  <c r="I118" i="162"/>
  <c r="I116" i="162" s="1"/>
  <c r="H118" i="162"/>
  <c r="G118" i="162"/>
  <c r="G116" i="162" s="1"/>
  <c r="E118" i="162"/>
  <c r="E116" i="162" s="1"/>
  <c r="D118" i="162"/>
  <c r="D116" i="162" s="1"/>
  <c r="H116" i="162"/>
  <c r="G114" i="162"/>
  <c r="C112" i="162"/>
  <c r="C110" i="162" s="1"/>
  <c r="C108" i="162" s="1"/>
  <c r="I110" i="162"/>
  <c r="I108" i="162" s="1"/>
  <c r="H110" i="162"/>
  <c r="H108" i="162" s="1"/>
  <c r="G110" i="162"/>
  <c r="G108" i="162" s="1"/>
  <c r="E110" i="162"/>
  <c r="E108" i="162" s="1"/>
  <c r="D110" i="162"/>
  <c r="D108" i="162" s="1"/>
  <c r="G104" i="162"/>
  <c r="C102" i="162"/>
  <c r="C100" i="162" s="1"/>
  <c r="C98" i="162" s="1"/>
  <c r="C96" i="162" s="1"/>
  <c r="I100" i="162"/>
  <c r="I98" i="162" s="1"/>
  <c r="H100" i="162"/>
  <c r="H98" i="162" s="1"/>
  <c r="H96" i="162" s="1"/>
  <c r="G100" i="162"/>
  <c r="E100" i="162"/>
  <c r="E98" i="162" s="1"/>
  <c r="E96" i="162" s="1"/>
  <c r="D100" i="162"/>
  <c r="D98" i="162" s="1"/>
  <c r="D96" i="162" s="1"/>
  <c r="G98" i="162"/>
  <c r="G96" i="162" s="1"/>
  <c r="I96" i="162"/>
  <c r="H94" i="162"/>
  <c r="G94" i="162" s="1"/>
  <c r="H92" i="162"/>
  <c r="G92" i="162" s="1"/>
  <c r="C90" i="162"/>
  <c r="I88" i="162"/>
  <c r="E88" i="162"/>
  <c r="D88" i="162"/>
  <c r="C88" i="162"/>
  <c r="C86" i="162" s="1"/>
  <c r="C84" i="162" s="1"/>
  <c r="I86" i="162"/>
  <c r="I84" i="162" s="1"/>
  <c r="E86" i="162"/>
  <c r="E84" i="162" s="1"/>
  <c r="D86" i="162"/>
  <c r="D84" i="162" s="1"/>
  <c r="G82" i="162"/>
  <c r="C80" i="162"/>
  <c r="C78" i="162" s="1"/>
  <c r="C76" i="162" s="1"/>
  <c r="I78" i="162"/>
  <c r="I76" i="162" s="1"/>
  <c r="H78" i="162"/>
  <c r="H76" i="162" s="1"/>
  <c r="G78" i="162"/>
  <c r="G76" i="162" s="1"/>
  <c r="E78" i="162"/>
  <c r="E76" i="162" s="1"/>
  <c r="D78" i="162"/>
  <c r="D76" i="162" s="1"/>
  <c r="D66" i="162" s="1"/>
  <c r="G74" i="162"/>
  <c r="C72" i="162"/>
  <c r="C70" i="162" s="1"/>
  <c r="I70" i="162"/>
  <c r="I68" i="162" s="1"/>
  <c r="H70" i="162"/>
  <c r="G70" i="162"/>
  <c r="E70" i="162"/>
  <c r="E68" i="162" s="1"/>
  <c r="D70" i="162"/>
  <c r="D68" i="162" s="1"/>
  <c r="H68" i="162"/>
  <c r="G68" i="162"/>
  <c r="C68" i="162"/>
  <c r="G64" i="162"/>
  <c r="C62" i="162"/>
  <c r="C60" i="162" s="1"/>
  <c r="I60" i="162"/>
  <c r="I58" i="162" s="1"/>
  <c r="I56" i="162" s="1"/>
  <c r="H60" i="162"/>
  <c r="H58" i="162" s="1"/>
  <c r="H56" i="162" s="1"/>
  <c r="G60" i="162"/>
  <c r="G58" i="162" s="1"/>
  <c r="G56" i="162" s="1"/>
  <c r="E60" i="162"/>
  <c r="E58" i="162" s="1"/>
  <c r="E56" i="162" s="1"/>
  <c r="D60" i="162"/>
  <c r="D58" i="162" s="1"/>
  <c r="C58" i="162"/>
  <c r="C56" i="162" s="1"/>
  <c r="D56" i="162"/>
  <c r="G54" i="162"/>
  <c r="H52" i="162"/>
  <c r="G52" i="162" s="1"/>
  <c r="C50" i="162"/>
  <c r="C48" i="162" s="1"/>
  <c r="C46" i="162" s="1"/>
  <c r="I48" i="162"/>
  <c r="I46" i="162" s="1"/>
  <c r="E48" i="162"/>
  <c r="E46" i="162" s="1"/>
  <c r="D48" i="162"/>
  <c r="D46" i="162" s="1"/>
  <c r="G44" i="162"/>
  <c r="C42" i="162"/>
  <c r="C40" i="162" s="1"/>
  <c r="I40" i="162"/>
  <c r="I38" i="162" s="1"/>
  <c r="H40" i="162"/>
  <c r="G40" i="162"/>
  <c r="E40" i="162"/>
  <c r="E38" i="162" s="1"/>
  <c r="D40" i="162"/>
  <c r="D38" i="162" s="1"/>
  <c r="H38" i="162"/>
  <c r="G38" i="162"/>
  <c r="C38" i="162"/>
  <c r="G34" i="162"/>
  <c r="C32" i="162"/>
  <c r="C30" i="162" s="1"/>
  <c r="I30" i="162"/>
  <c r="I28" i="162" s="1"/>
  <c r="H30" i="162"/>
  <c r="G30" i="162"/>
  <c r="E30" i="162"/>
  <c r="E28" i="162" s="1"/>
  <c r="E26" i="162" s="1"/>
  <c r="D30" i="162"/>
  <c r="D28" i="162" s="1"/>
  <c r="D26" i="162" s="1"/>
  <c r="H28" i="162"/>
  <c r="H26" i="162" s="1"/>
  <c r="G28" i="162"/>
  <c r="G26" i="162" s="1"/>
  <c r="C28" i="162"/>
  <c r="C26" i="162" s="1"/>
  <c r="I26" i="162"/>
  <c r="G24" i="162"/>
  <c r="G20" i="162" s="1"/>
  <c r="G18" i="162" s="1"/>
  <c r="G16" i="162" s="1"/>
  <c r="C22" i="162"/>
  <c r="C20" i="162" s="1"/>
  <c r="I20" i="162"/>
  <c r="I18" i="162" s="1"/>
  <c r="I16" i="162" s="1"/>
  <c r="H20" i="162"/>
  <c r="H18" i="162" s="1"/>
  <c r="H16" i="162" s="1"/>
  <c r="E20" i="162"/>
  <c r="E18" i="162" s="1"/>
  <c r="E16" i="162" s="1"/>
  <c r="D20" i="162"/>
  <c r="D18" i="162" s="1"/>
  <c r="D16" i="162" s="1"/>
  <c r="C18" i="162"/>
  <c r="C16" i="162" s="1"/>
  <c r="F146" i="161"/>
  <c r="F142" i="161"/>
  <c r="F136" i="161"/>
  <c r="F135" i="161"/>
  <c r="F134" i="161"/>
  <c r="F133" i="161"/>
  <c r="F132" i="161"/>
  <c r="F131" i="161"/>
  <c r="F130" i="161"/>
  <c r="F129" i="161"/>
  <c r="F128" i="161"/>
  <c r="F127" i="161"/>
  <c r="F126" i="161"/>
  <c r="F125" i="161"/>
  <c r="H124" i="161"/>
  <c r="G124" i="161"/>
  <c r="E124" i="161"/>
  <c r="D124" i="161"/>
  <c r="F123" i="161"/>
  <c r="F122" i="161" s="1"/>
  <c r="H122" i="161"/>
  <c r="G122" i="161"/>
  <c r="E122" i="161"/>
  <c r="D122" i="161"/>
  <c r="F121" i="161"/>
  <c r="F120" i="161"/>
  <c r="F119" i="161"/>
  <c r="E119" i="161"/>
  <c r="H118" i="161"/>
  <c r="G118" i="161"/>
  <c r="E118" i="161"/>
  <c r="D118" i="161"/>
  <c r="F117" i="161"/>
  <c r="F116" i="161"/>
  <c r="H115" i="161"/>
  <c r="G115" i="161"/>
  <c r="E115" i="161"/>
  <c r="D115" i="161"/>
  <c r="F114" i="161"/>
  <c r="F113" i="161" s="1"/>
  <c r="H113" i="161"/>
  <c r="G113" i="161"/>
  <c r="E113" i="161"/>
  <c r="D113" i="161"/>
  <c r="F112" i="161"/>
  <c r="F111" i="161" s="1"/>
  <c r="H111" i="161"/>
  <c r="G111" i="161"/>
  <c r="E111" i="161"/>
  <c r="D111" i="161"/>
  <c r="F110" i="161"/>
  <c r="F109" i="161" s="1"/>
  <c r="H109" i="161"/>
  <c r="G109" i="161"/>
  <c r="E109" i="161"/>
  <c r="D109" i="161"/>
  <c r="F108" i="161"/>
  <c r="F107" i="161"/>
  <c r="F106" i="161"/>
  <c r="F105" i="161"/>
  <c r="F104" i="161"/>
  <c r="F103" i="161"/>
  <c r="F102" i="161"/>
  <c r="F101" i="161"/>
  <c r="F100" i="161"/>
  <c r="E100" i="161"/>
  <c r="F99" i="161"/>
  <c r="F98" i="161"/>
  <c r="E98" i="161"/>
  <c r="F97" i="161"/>
  <c r="F96" i="161"/>
  <c r="F95" i="161"/>
  <c r="F94" i="161"/>
  <c r="E94" i="161"/>
  <c r="F93" i="161"/>
  <c r="F92" i="161"/>
  <c r="F91" i="161"/>
  <c r="F90" i="161"/>
  <c r="F89" i="161"/>
  <c r="E89" i="161"/>
  <c r="F88" i="161"/>
  <c r="F87" i="161"/>
  <c r="E87" i="161"/>
  <c r="F86" i="161"/>
  <c r="F85" i="161"/>
  <c r="F84" i="161"/>
  <c r="F83" i="161"/>
  <c r="F82" i="161"/>
  <c r="H81" i="161"/>
  <c r="G81" i="161"/>
  <c r="D81" i="161"/>
  <c r="F75" i="161"/>
  <c r="F74" i="161"/>
  <c r="F73" i="161"/>
  <c r="F72" i="161"/>
  <c r="H71" i="161"/>
  <c r="G71" i="161"/>
  <c r="D71" i="161"/>
  <c r="F70" i="161"/>
  <c r="F69" i="161"/>
  <c r="H68" i="161"/>
  <c r="G68" i="161"/>
  <c r="D68" i="161"/>
  <c r="F67" i="161"/>
  <c r="F66" i="161"/>
  <c r="F65" i="161"/>
  <c r="F64" i="161"/>
  <c r="F63" i="161"/>
  <c r="F62" i="161"/>
  <c r="F61" i="161"/>
  <c r="F60" i="161"/>
  <c r="F59" i="161"/>
  <c r="F58" i="161"/>
  <c r="F57" i="161"/>
  <c r="F56" i="161"/>
  <c r="F55" i="161"/>
  <c r="H54" i="161"/>
  <c r="G54" i="161"/>
  <c r="D54" i="161"/>
  <c r="F53" i="161"/>
  <c r="F52" i="161"/>
  <c r="F51" i="161"/>
  <c r="H50" i="161"/>
  <c r="G50" i="161"/>
  <c r="D50" i="161"/>
  <c r="F49" i="161"/>
  <c r="F48" i="161"/>
  <c r="F47" i="161" s="1"/>
  <c r="H47" i="161"/>
  <c r="G47" i="161"/>
  <c r="D47" i="161"/>
  <c r="F46" i="161"/>
  <c r="F45" i="161"/>
  <c r="H44" i="161"/>
  <c r="G44" i="161"/>
  <c r="D44" i="161"/>
  <c r="F43" i="161"/>
  <c r="F42" i="161"/>
  <c r="F41" i="161"/>
  <c r="H40" i="161"/>
  <c r="G40" i="161"/>
  <c r="D40" i="161"/>
  <c r="F39" i="161"/>
  <c r="F38" i="161"/>
  <c r="F37" i="161" s="1"/>
  <c r="H37" i="161"/>
  <c r="G37" i="161"/>
  <c r="D37" i="161"/>
  <c r="F36" i="161"/>
  <c r="F35" i="161"/>
  <c r="F34" i="161"/>
  <c r="H33" i="161"/>
  <c r="G33" i="161"/>
  <c r="D33" i="161"/>
  <c r="F32" i="161"/>
  <c r="F31" i="161"/>
  <c r="F30" i="161"/>
  <c r="F29" i="161"/>
  <c r="F28" i="161"/>
  <c r="F27" i="161"/>
  <c r="F26" i="161"/>
  <c r="F25" i="161"/>
  <c r="F24" i="161"/>
  <c r="F23" i="161"/>
  <c r="F22" i="161"/>
  <c r="F21" i="161"/>
  <c r="H20" i="161"/>
  <c r="G20" i="161"/>
  <c r="D20" i="161"/>
  <c r="F19" i="161"/>
  <c r="F18" i="161" s="1"/>
  <c r="H18" i="161"/>
  <c r="G18" i="161"/>
  <c r="D18" i="161"/>
  <c r="L135" i="160"/>
  <c r="L134" i="160" s="1"/>
  <c r="G135" i="160"/>
  <c r="E135" i="160" s="1"/>
  <c r="O134" i="160"/>
  <c r="N134" i="160"/>
  <c r="M134" i="160"/>
  <c r="K134" i="160"/>
  <c r="J134" i="160"/>
  <c r="I134" i="160"/>
  <c r="H134" i="160"/>
  <c r="F134" i="160"/>
  <c r="L133" i="160"/>
  <c r="L132" i="160" s="1"/>
  <c r="G133" i="160"/>
  <c r="E133" i="160" s="1"/>
  <c r="D133" i="160" s="1"/>
  <c r="O132" i="160"/>
  <c r="N132" i="160"/>
  <c r="M132" i="160"/>
  <c r="K132" i="160"/>
  <c r="J132" i="160"/>
  <c r="I132" i="160"/>
  <c r="H132" i="160"/>
  <c r="F132" i="160"/>
  <c r="L131" i="160"/>
  <c r="G131" i="160"/>
  <c r="L130" i="160"/>
  <c r="E130" i="160"/>
  <c r="D130" i="160" s="1"/>
  <c r="C130" i="160" s="1"/>
  <c r="L129" i="160"/>
  <c r="E129" i="160"/>
  <c r="D129" i="160" s="1"/>
  <c r="C129" i="160" s="1"/>
  <c r="L128" i="160"/>
  <c r="E128" i="160"/>
  <c r="D128" i="160" s="1"/>
  <c r="L127" i="160"/>
  <c r="E127" i="160"/>
  <c r="D127" i="160" s="1"/>
  <c r="C127" i="160" s="1"/>
  <c r="L126" i="160"/>
  <c r="E126" i="160"/>
  <c r="D126" i="160" s="1"/>
  <c r="L125" i="160"/>
  <c r="E125" i="160"/>
  <c r="D125" i="160" s="1"/>
  <c r="C125" i="160" s="1"/>
  <c r="L124" i="160"/>
  <c r="E124" i="160"/>
  <c r="D124" i="160" s="1"/>
  <c r="L123" i="160"/>
  <c r="E123" i="160"/>
  <c r="D123" i="160" s="1"/>
  <c r="L122" i="160"/>
  <c r="E122" i="160"/>
  <c r="D122" i="160" s="1"/>
  <c r="O121" i="160"/>
  <c r="N121" i="160"/>
  <c r="M121" i="160"/>
  <c r="K121" i="160"/>
  <c r="J121" i="160"/>
  <c r="I121" i="160"/>
  <c r="H121" i="160"/>
  <c r="F121" i="160"/>
  <c r="L120" i="160"/>
  <c r="J120" i="160"/>
  <c r="J112" i="160" s="1"/>
  <c r="G120" i="160"/>
  <c r="E120" i="160" s="1"/>
  <c r="L119" i="160"/>
  <c r="G119" i="160"/>
  <c r="E119" i="160" s="1"/>
  <c r="D119" i="160" s="1"/>
  <c r="L118" i="160"/>
  <c r="E118" i="160"/>
  <c r="D118" i="160" s="1"/>
  <c r="L117" i="160"/>
  <c r="G117" i="160"/>
  <c r="E117" i="160" s="1"/>
  <c r="D117" i="160" s="1"/>
  <c r="L116" i="160"/>
  <c r="G116" i="160"/>
  <c r="L115" i="160"/>
  <c r="E115" i="160"/>
  <c r="D115" i="160" s="1"/>
  <c r="L114" i="160"/>
  <c r="G114" i="160"/>
  <c r="E114" i="160" s="1"/>
  <c r="L113" i="160"/>
  <c r="E113" i="160"/>
  <c r="D113" i="160" s="1"/>
  <c r="O112" i="160"/>
  <c r="N112" i="160"/>
  <c r="M112" i="160"/>
  <c r="K112" i="160"/>
  <c r="I112" i="160"/>
  <c r="H112" i="160"/>
  <c r="F112" i="160"/>
  <c r="L111" i="160"/>
  <c r="G111" i="160"/>
  <c r="E111" i="160" s="1"/>
  <c r="D111" i="160" s="1"/>
  <c r="L110" i="160"/>
  <c r="G110" i="160"/>
  <c r="E110" i="160" s="1"/>
  <c r="D110" i="160" s="1"/>
  <c r="O109" i="160"/>
  <c r="N109" i="160"/>
  <c r="M109" i="160"/>
  <c r="K109" i="160"/>
  <c r="J109" i="160"/>
  <c r="I109" i="160"/>
  <c r="H109" i="160"/>
  <c r="F109" i="160"/>
  <c r="L108" i="160"/>
  <c r="G108" i="160"/>
  <c r="E108" i="160" s="1"/>
  <c r="D108" i="160" s="1"/>
  <c r="C108" i="160" s="1"/>
  <c r="L107" i="160"/>
  <c r="E107" i="160"/>
  <c r="D107" i="160" s="1"/>
  <c r="C107" i="160" s="1"/>
  <c r="L106" i="160"/>
  <c r="J106" i="160"/>
  <c r="E106" i="160"/>
  <c r="L105" i="160"/>
  <c r="E105" i="160"/>
  <c r="D105" i="160" s="1"/>
  <c r="L104" i="160"/>
  <c r="G104" i="160"/>
  <c r="E104" i="160" s="1"/>
  <c r="D104" i="160" s="1"/>
  <c r="C104" i="160" s="1"/>
  <c r="L103" i="160"/>
  <c r="G103" i="160"/>
  <c r="E103" i="160" s="1"/>
  <c r="D103" i="160" s="1"/>
  <c r="L102" i="160"/>
  <c r="G102" i="160"/>
  <c r="E102" i="160" s="1"/>
  <c r="D102" i="160" s="1"/>
  <c r="C102" i="160" s="1"/>
  <c r="L101" i="160"/>
  <c r="G101" i="160"/>
  <c r="E101" i="160" s="1"/>
  <c r="O100" i="160"/>
  <c r="N100" i="160"/>
  <c r="M100" i="160"/>
  <c r="K100" i="160"/>
  <c r="J100" i="160"/>
  <c r="I100" i="160"/>
  <c r="H100" i="160"/>
  <c r="F100" i="160"/>
  <c r="L99" i="160"/>
  <c r="J99" i="160"/>
  <c r="G99" i="160"/>
  <c r="E99" i="160" s="1"/>
  <c r="L98" i="160"/>
  <c r="J98" i="160"/>
  <c r="G98" i="160"/>
  <c r="E98" i="160" s="1"/>
  <c r="L97" i="160"/>
  <c r="G97" i="160"/>
  <c r="E97" i="160" s="1"/>
  <c r="D97" i="160" s="1"/>
  <c r="L96" i="160"/>
  <c r="G96" i="160"/>
  <c r="L95" i="160"/>
  <c r="E95" i="160"/>
  <c r="D95" i="160" s="1"/>
  <c r="O94" i="160"/>
  <c r="N94" i="160"/>
  <c r="M94" i="160"/>
  <c r="K94" i="160"/>
  <c r="I94" i="160"/>
  <c r="H94" i="160"/>
  <c r="F94" i="160"/>
  <c r="L93" i="160"/>
  <c r="J93" i="160"/>
  <c r="G93" i="160"/>
  <c r="E93" i="160" s="1"/>
  <c r="L92" i="160"/>
  <c r="G92" i="160"/>
  <c r="E92" i="160" s="1"/>
  <c r="D92" i="160" s="1"/>
  <c r="L91" i="160"/>
  <c r="G91" i="160"/>
  <c r="E91" i="160" s="1"/>
  <c r="D91" i="160" s="1"/>
  <c r="L90" i="160"/>
  <c r="G90" i="160"/>
  <c r="L89" i="160"/>
  <c r="J89" i="160"/>
  <c r="E89" i="160"/>
  <c r="O88" i="160"/>
  <c r="N88" i="160"/>
  <c r="M88" i="160"/>
  <c r="K88" i="160"/>
  <c r="I88" i="160"/>
  <c r="H88" i="160"/>
  <c r="F88" i="160"/>
  <c r="L87" i="160"/>
  <c r="J87" i="160"/>
  <c r="G87" i="160"/>
  <c r="E87" i="160" s="1"/>
  <c r="L86" i="160"/>
  <c r="E86" i="160"/>
  <c r="D86" i="160" s="1"/>
  <c r="L85" i="160"/>
  <c r="G85" i="160"/>
  <c r="E85" i="160" s="1"/>
  <c r="D85" i="160" s="1"/>
  <c r="L84" i="160"/>
  <c r="G84" i="160"/>
  <c r="L83" i="160"/>
  <c r="J83" i="160"/>
  <c r="E83" i="160"/>
  <c r="L82" i="160"/>
  <c r="E82" i="160"/>
  <c r="D82" i="160" s="1"/>
  <c r="N81" i="160"/>
  <c r="N80" i="160" s="1"/>
  <c r="L81" i="160"/>
  <c r="E81" i="160"/>
  <c r="O80" i="160"/>
  <c r="M80" i="160"/>
  <c r="K80" i="160"/>
  <c r="I80" i="160"/>
  <c r="H80" i="160"/>
  <c r="F80" i="160"/>
  <c r="L79" i="160"/>
  <c r="J79" i="160"/>
  <c r="G79" i="160"/>
  <c r="E79" i="160" s="1"/>
  <c r="D79" i="160"/>
  <c r="L78" i="160"/>
  <c r="G78" i="160"/>
  <c r="E78" i="160" s="1"/>
  <c r="D78" i="160" s="1"/>
  <c r="L77" i="160"/>
  <c r="G77" i="160"/>
  <c r="E77" i="160" s="1"/>
  <c r="D77" i="160" s="1"/>
  <c r="L76" i="160"/>
  <c r="G76" i="160"/>
  <c r="E76" i="160" s="1"/>
  <c r="D76" i="160" s="1"/>
  <c r="L75" i="160"/>
  <c r="G75" i="160"/>
  <c r="E75" i="160" s="1"/>
  <c r="D75" i="160" s="1"/>
  <c r="L74" i="160"/>
  <c r="G74" i="160"/>
  <c r="E74" i="160" s="1"/>
  <c r="D74" i="160" s="1"/>
  <c r="L73" i="160"/>
  <c r="G73" i="160"/>
  <c r="E73" i="160" s="1"/>
  <c r="D73" i="160" s="1"/>
  <c r="L72" i="160"/>
  <c r="G72" i="160"/>
  <c r="E72" i="160"/>
  <c r="D72" i="160" s="1"/>
  <c r="L71" i="160"/>
  <c r="E71" i="160"/>
  <c r="D71" i="160" s="1"/>
  <c r="L70" i="160"/>
  <c r="G70" i="160"/>
  <c r="E70" i="160" s="1"/>
  <c r="D70" i="160" s="1"/>
  <c r="C70" i="160" s="1"/>
  <c r="L69" i="160"/>
  <c r="J69" i="160"/>
  <c r="E69" i="160"/>
  <c r="L68" i="160"/>
  <c r="G68" i="160"/>
  <c r="O67" i="160"/>
  <c r="N67" i="160"/>
  <c r="M67" i="160"/>
  <c r="K67" i="160"/>
  <c r="I67" i="160"/>
  <c r="H67" i="160"/>
  <c r="F67" i="160"/>
  <c r="L66" i="160"/>
  <c r="E66" i="160"/>
  <c r="O65" i="160"/>
  <c r="N65" i="160"/>
  <c r="M65" i="160"/>
  <c r="L65" i="160"/>
  <c r="K65" i="160"/>
  <c r="J65" i="160"/>
  <c r="I65" i="160"/>
  <c r="H65" i="160"/>
  <c r="G65" i="160"/>
  <c r="F65" i="160"/>
  <c r="L64" i="160"/>
  <c r="E64" i="160"/>
  <c r="D64" i="160" s="1"/>
  <c r="L63" i="160"/>
  <c r="E63" i="160"/>
  <c r="D63" i="160"/>
  <c r="O62" i="160"/>
  <c r="N62" i="160"/>
  <c r="M62" i="160"/>
  <c r="K62" i="160"/>
  <c r="J62" i="160"/>
  <c r="I62" i="160"/>
  <c r="H62" i="160"/>
  <c r="G62" i="160"/>
  <c r="F62" i="160"/>
  <c r="E62" i="160"/>
  <c r="L61" i="160"/>
  <c r="E61" i="160"/>
  <c r="O60" i="160"/>
  <c r="N60" i="160"/>
  <c r="M60" i="160"/>
  <c r="L60" i="160"/>
  <c r="K60" i="160"/>
  <c r="J60" i="160"/>
  <c r="I60" i="160"/>
  <c r="H60" i="160"/>
  <c r="G60" i="160"/>
  <c r="F60" i="160"/>
  <c r="L59" i="160"/>
  <c r="L58" i="160" s="1"/>
  <c r="E59" i="160"/>
  <c r="E58" i="160" s="1"/>
  <c r="O58" i="160"/>
  <c r="N58" i="160"/>
  <c r="M58" i="160"/>
  <c r="K58" i="160"/>
  <c r="J58" i="160"/>
  <c r="I58" i="160"/>
  <c r="H58" i="160"/>
  <c r="G58" i="160"/>
  <c r="F58" i="160"/>
  <c r="L57" i="160"/>
  <c r="J57" i="160"/>
  <c r="G57" i="160"/>
  <c r="E57" i="160" s="1"/>
  <c r="L56" i="160"/>
  <c r="G56" i="160"/>
  <c r="E56" i="160" s="1"/>
  <c r="D56" i="160" s="1"/>
  <c r="L55" i="160"/>
  <c r="G55" i="160"/>
  <c r="E55" i="160" s="1"/>
  <c r="D55" i="160" s="1"/>
  <c r="L54" i="160"/>
  <c r="G54" i="160"/>
  <c r="E54" i="160" s="1"/>
  <c r="D54" i="160"/>
  <c r="N53" i="160"/>
  <c r="N51" i="160" s="1"/>
  <c r="L53" i="160"/>
  <c r="G53" i="160"/>
  <c r="E53" i="160"/>
  <c r="L52" i="160"/>
  <c r="G52" i="160"/>
  <c r="E52" i="160" s="1"/>
  <c r="D52" i="160" s="1"/>
  <c r="O51" i="160"/>
  <c r="M51" i="160"/>
  <c r="K51" i="160"/>
  <c r="I51" i="160"/>
  <c r="H51" i="160"/>
  <c r="F51" i="160"/>
  <c r="L50" i="160"/>
  <c r="L49" i="160" s="1"/>
  <c r="E50" i="160"/>
  <c r="O49" i="160"/>
  <c r="N49" i="160"/>
  <c r="M49" i="160"/>
  <c r="K49" i="160"/>
  <c r="J49" i="160"/>
  <c r="I49" i="160"/>
  <c r="H49" i="160"/>
  <c r="G49" i="160"/>
  <c r="F49" i="160"/>
  <c r="N48" i="160"/>
  <c r="J48" i="160" s="1"/>
  <c r="J47" i="160" s="1"/>
  <c r="L48" i="160"/>
  <c r="L47" i="160" s="1"/>
  <c r="G48" i="160"/>
  <c r="E48" i="160" s="1"/>
  <c r="O47" i="160"/>
  <c r="N47" i="160"/>
  <c r="M47" i="160"/>
  <c r="K47" i="160"/>
  <c r="I47" i="160"/>
  <c r="H47" i="160"/>
  <c r="F47" i="160"/>
  <c r="L46" i="160"/>
  <c r="E46" i="160"/>
  <c r="D46" i="160" s="1"/>
  <c r="L45" i="160"/>
  <c r="E45" i="160"/>
  <c r="D45" i="160" s="1"/>
  <c r="L44" i="160"/>
  <c r="G44" i="160"/>
  <c r="E44" i="160" s="1"/>
  <c r="D44" i="160" s="1"/>
  <c r="L43" i="160"/>
  <c r="G43" i="160"/>
  <c r="E43" i="160" s="1"/>
  <c r="O42" i="160"/>
  <c r="N42" i="160"/>
  <c r="M42" i="160"/>
  <c r="K42" i="160"/>
  <c r="J42" i="160"/>
  <c r="I42" i="160"/>
  <c r="H42" i="160"/>
  <c r="F42" i="160"/>
  <c r="L41" i="160"/>
  <c r="L40" i="160" s="1"/>
  <c r="G41" i="160"/>
  <c r="E41" i="160" s="1"/>
  <c r="O40" i="160"/>
  <c r="N40" i="160"/>
  <c r="M40" i="160"/>
  <c r="K40" i="160"/>
  <c r="J40" i="160"/>
  <c r="I40" i="160"/>
  <c r="H40" i="160"/>
  <c r="F40" i="160"/>
  <c r="L39" i="160"/>
  <c r="L38" i="160" s="1"/>
  <c r="G39" i="160"/>
  <c r="E39" i="160"/>
  <c r="E38" i="160" s="1"/>
  <c r="O38" i="160"/>
  <c r="N38" i="160"/>
  <c r="M38" i="160"/>
  <c r="K38" i="160"/>
  <c r="J38" i="160"/>
  <c r="I38" i="160"/>
  <c r="H38" i="160"/>
  <c r="G38" i="160"/>
  <c r="F38" i="160"/>
  <c r="L37" i="160"/>
  <c r="G37" i="160"/>
  <c r="E37" i="160" s="1"/>
  <c r="D37" i="160" s="1"/>
  <c r="C37" i="160" s="1"/>
  <c r="L36" i="160"/>
  <c r="E36" i="160"/>
  <c r="D36" i="160" s="1"/>
  <c r="L35" i="160"/>
  <c r="E35" i="160"/>
  <c r="D35" i="160" s="1"/>
  <c r="L34" i="160"/>
  <c r="E34" i="160"/>
  <c r="D34" i="160" s="1"/>
  <c r="L33" i="160"/>
  <c r="E33" i="160"/>
  <c r="D33" i="160"/>
  <c r="N32" i="160"/>
  <c r="L32" i="160"/>
  <c r="G32" i="160"/>
  <c r="E32" i="160" s="1"/>
  <c r="L31" i="160"/>
  <c r="E31" i="160"/>
  <c r="D31" i="160" s="1"/>
  <c r="L30" i="160"/>
  <c r="G30" i="160"/>
  <c r="L29" i="160"/>
  <c r="E29" i="160"/>
  <c r="D29" i="160" s="1"/>
  <c r="L28" i="160"/>
  <c r="G28" i="160"/>
  <c r="E28" i="160" s="1"/>
  <c r="D28" i="160" s="1"/>
  <c r="O27" i="160"/>
  <c r="M27" i="160"/>
  <c r="K27" i="160"/>
  <c r="I27" i="160"/>
  <c r="H27" i="160"/>
  <c r="F27" i="160"/>
  <c r="L26" i="160"/>
  <c r="L25" i="160" s="1"/>
  <c r="J26" i="160"/>
  <c r="J25" i="160" s="1"/>
  <c r="G26" i="160"/>
  <c r="E26" i="160" s="1"/>
  <c r="O25" i="160"/>
  <c r="N25" i="160"/>
  <c r="M25" i="160"/>
  <c r="K25" i="160"/>
  <c r="I25" i="160"/>
  <c r="H25" i="160"/>
  <c r="F25" i="160"/>
  <c r="L24" i="160"/>
  <c r="E24" i="160"/>
  <c r="D24" i="160" s="1"/>
  <c r="L23" i="160"/>
  <c r="L22" i="160" s="1"/>
  <c r="J23" i="160"/>
  <c r="E23" i="160"/>
  <c r="O22" i="160"/>
  <c r="N22" i="160"/>
  <c r="M22" i="160"/>
  <c r="K22" i="160"/>
  <c r="J22" i="160"/>
  <c r="I22" i="160"/>
  <c r="H22" i="160"/>
  <c r="G22" i="160"/>
  <c r="F22" i="160"/>
  <c r="L21" i="160"/>
  <c r="G21" i="160"/>
  <c r="L20" i="160"/>
  <c r="G20" i="160"/>
  <c r="E20" i="160"/>
  <c r="D20" i="160" s="1"/>
  <c r="L19" i="160"/>
  <c r="J19" i="160"/>
  <c r="E19" i="160"/>
  <c r="L18" i="160"/>
  <c r="E18" i="160"/>
  <c r="D18" i="160" s="1"/>
  <c r="L17" i="160"/>
  <c r="E17" i="160"/>
  <c r="D17" i="160" s="1"/>
  <c r="O16" i="160"/>
  <c r="N16" i="160"/>
  <c r="M16" i="160"/>
  <c r="K16" i="160"/>
  <c r="I16" i="160"/>
  <c r="H16" i="160"/>
  <c r="F16" i="160"/>
  <c r="C24" i="160" l="1"/>
  <c r="D57" i="160"/>
  <c r="C57" i="160" s="1"/>
  <c r="D59" i="160"/>
  <c r="D69" i="160"/>
  <c r="C69" i="160" s="1"/>
  <c r="C82" i="160"/>
  <c r="C92" i="160"/>
  <c r="E138" i="162"/>
  <c r="E136" i="162" s="1"/>
  <c r="C54" i="160"/>
  <c r="F124" i="161"/>
  <c r="D23" i="160"/>
  <c r="D39" i="160"/>
  <c r="C39" i="160" s="1"/>
  <c r="C38" i="160" s="1"/>
  <c r="C44" i="160"/>
  <c r="L100" i="160"/>
  <c r="F68" i="161"/>
  <c r="H48" i="162"/>
  <c r="H46" i="162" s="1"/>
  <c r="H36" i="162" s="1"/>
  <c r="G88" i="162"/>
  <c r="G86" i="162" s="1"/>
  <c r="G84" i="162" s="1"/>
  <c r="G128" i="162"/>
  <c r="G126" i="162" s="1"/>
  <c r="G124" i="162" s="1"/>
  <c r="E174" i="162"/>
  <c r="C35" i="160"/>
  <c r="J81" i="160"/>
  <c r="J80" i="160" s="1"/>
  <c r="D106" i="160"/>
  <c r="C106" i="160" s="1"/>
  <c r="C118" i="160"/>
  <c r="C122" i="160"/>
  <c r="C126" i="160"/>
  <c r="F118" i="161"/>
  <c r="C106" i="162"/>
  <c r="H174" i="162"/>
  <c r="C20" i="160"/>
  <c r="F14" i="160"/>
  <c r="F137" i="160" s="1"/>
  <c r="C71" i="160"/>
  <c r="I14" i="160"/>
  <c r="I137" i="160" s="1"/>
  <c r="C17" i="160"/>
  <c r="E22" i="160"/>
  <c r="C28" i="160"/>
  <c r="G51" i="160"/>
  <c r="C73" i="160"/>
  <c r="C75" i="160"/>
  <c r="D99" i="160"/>
  <c r="C105" i="160"/>
  <c r="G109" i="160"/>
  <c r="C119" i="160"/>
  <c r="F44" i="161"/>
  <c r="C174" i="162"/>
  <c r="C9" i="163"/>
  <c r="C46" i="160"/>
  <c r="E154" i="162"/>
  <c r="C29" i="160"/>
  <c r="C91" i="160"/>
  <c r="E109" i="160"/>
  <c r="C117" i="160"/>
  <c r="F33" i="161"/>
  <c r="I106" i="162"/>
  <c r="D19" i="160"/>
  <c r="C19" i="160" s="1"/>
  <c r="C72" i="160"/>
  <c r="J67" i="160"/>
  <c r="F20" i="161"/>
  <c r="F40" i="161"/>
  <c r="D9" i="163"/>
  <c r="E51" i="160"/>
  <c r="D87" i="160"/>
  <c r="F50" i="161"/>
  <c r="I66" i="162"/>
  <c r="D106" i="162"/>
  <c r="I196" i="162"/>
  <c r="C56" i="160"/>
  <c r="D98" i="160"/>
  <c r="C98" i="160" s="1"/>
  <c r="C128" i="160"/>
  <c r="H77" i="161"/>
  <c r="D77" i="161"/>
  <c r="F54" i="161"/>
  <c r="F71" i="161"/>
  <c r="D138" i="161"/>
  <c r="F115" i="161"/>
  <c r="I36" i="162"/>
  <c r="G48" i="162"/>
  <c r="G46" i="162" s="1"/>
  <c r="G106" i="162"/>
  <c r="G66" i="162"/>
  <c r="C36" i="162"/>
  <c r="E36" i="162"/>
  <c r="H106" i="162"/>
  <c r="G202" i="162"/>
  <c r="C154" i="162"/>
  <c r="D43" i="160"/>
  <c r="C43" i="160" s="1"/>
  <c r="E42" i="160"/>
  <c r="J16" i="160"/>
  <c r="L16" i="160"/>
  <c r="H14" i="160"/>
  <c r="H137" i="160" s="1"/>
  <c r="L27" i="160"/>
  <c r="C34" i="160"/>
  <c r="C45" i="160"/>
  <c r="O14" i="160"/>
  <c r="O137" i="160" s="1"/>
  <c r="K14" i="160"/>
  <c r="K137" i="160" s="1"/>
  <c r="C76" i="160"/>
  <c r="J94" i="160"/>
  <c r="C33" i="160"/>
  <c r="G42" i="160"/>
  <c r="G47" i="160"/>
  <c r="C52" i="160"/>
  <c r="C74" i="160"/>
  <c r="C77" i="160"/>
  <c r="L80" i="160"/>
  <c r="C85" i="160"/>
  <c r="J88" i="160"/>
  <c r="C97" i="160"/>
  <c r="C103" i="160"/>
  <c r="G132" i="160"/>
  <c r="M14" i="160"/>
  <c r="M137" i="160" s="1"/>
  <c r="C31" i="160"/>
  <c r="C36" i="160"/>
  <c r="C78" i="160"/>
  <c r="D83" i="160"/>
  <c r="C83" i="160" s="1"/>
  <c r="L88" i="160"/>
  <c r="C113" i="160"/>
  <c r="G134" i="160"/>
  <c r="C18" i="160"/>
  <c r="C23" i="160"/>
  <c r="C22" i="160" s="1"/>
  <c r="D22" i="160"/>
  <c r="D26" i="160"/>
  <c r="E25" i="160"/>
  <c r="C95" i="160"/>
  <c r="L109" i="160"/>
  <c r="C111" i="160"/>
  <c r="I154" i="162"/>
  <c r="D41" i="160"/>
  <c r="E40" i="160"/>
  <c r="C59" i="160"/>
  <c r="C58" i="160" s="1"/>
  <c r="D58" i="160"/>
  <c r="L112" i="160"/>
  <c r="E131" i="160"/>
  <c r="G121" i="160"/>
  <c r="H146" i="162"/>
  <c r="H138" i="162" s="1"/>
  <c r="H136" i="162" s="1"/>
  <c r="G152" i="162"/>
  <c r="G146" i="162" s="1"/>
  <c r="G138" i="162" s="1"/>
  <c r="G136" i="162" s="1"/>
  <c r="E30" i="160"/>
  <c r="G27" i="160"/>
  <c r="D48" i="160"/>
  <c r="E47" i="160"/>
  <c r="L51" i="160"/>
  <c r="C55" i="160"/>
  <c r="C63" i="160"/>
  <c r="D62" i="160"/>
  <c r="D89" i="160"/>
  <c r="L121" i="160"/>
  <c r="C124" i="160"/>
  <c r="H200" i="162"/>
  <c r="D38" i="160"/>
  <c r="J32" i="160"/>
  <c r="J27" i="160" s="1"/>
  <c r="N27" i="160"/>
  <c r="N14" i="160" s="1"/>
  <c r="N137" i="160" s="1"/>
  <c r="L42" i="160"/>
  <c r="E68" i="160"/>
  <c r="G67" i="160"/>
  <c r="D81" i="160"/>
  <c r="E90" i="160"/>
  <c r="D90" i="160" s="1"/>
  <c r="C90" i="160" s="1"/>
  <c r="G88" i="160"/>
  <c r="E21" i="160"/>
  <c r="D21" i="160" s="1"/>
  <c r="C21" i="160" s="1"/>
  <c r="G16" i="160"/>
  <c r="G25" i="160"/>
  <c r="G40" i="160"/>
  <c r="D50" i="160"/>
  <c r="E49" i="160"/>
  <c r="E84" i="160"/>
  <c r="D84" i="160" s="1"/>
  <c r="C84" i="160" s="1"/>
  <c r="G80" i="160"/>
  <c r="E96" i="160"/>
  <c r="G94" i="160"/>
  <c r="C123" i="160"/>
  <c r="G198" i="162"/>
  <c r="D101" i="160"/>
  <c r="E100" i="160"/>
  <c r="G100" i="160"/>
  <c r="C133" i="160"/>
  <c r="C132" i="160" s="1"/>
  <c r="D132" i="160"/>
  <c r="L62" i="160"/>
  <c r="D66" i="160"/>
  <c r="E65" i="160"/>
  <c r="C86" i="160"/>
  <c r="D93" i="160"/>
  <c r="C93" i="160" s="1"/>
  <c r="L94" i="160"/>
  <c r="C99" i="160"/>
  <c r="C110" i="160"/>
  <c r="D109" i="160"/>
  <c r="C115" i="160"/>
  <c r="E116" i="160"/>
  <c r="D116" i="160" s="1"/>
  <c r="C116" i="160" s="1"/>
  <c r="G112" i="160"/>
  <c r="E132" i="160"/>
  <c r="H138" i="161"/>
  <c r="E66" i="162"/>
  <c r="E14" i="162" s="1"/>
  <c r="E196" i="162" s="1"/>
  <c r="G170" i="162"/>
  <c r="G166" i="162" s="1"/>
  <c r="G164" i="162" s="1"/>
  <c r="G154" i="162" s="1"/>
  <c r="H166" i="162"/>
  <c r="H164" i="162" s="1"/>
  <c r="H198" i="162"/>
  <c r="C79" i="160"/>
  <c r="C87" i="160"/>
  <c r="J53" i="160"/>
  <c r="J51" i="160" s="1"/>
  <c r="D61" i="160"/>
  <c r="E60" i="160"/>
  <c r="C64" i="160"/>
  <c r="L67" i="160"/>
  <c r="D114" i="160"/>
  <c r="D120" i="160"/>
  <c r="C120" i="160" s="1"/>
  <c r="D135" i="160"/>
  <c r="E134" i="160"/>
  <c r="D36" i="162"/>
  <c r="H88" i="162"/>
  <c r="H86" i="162" s="1"/>
  <c r="H84" i="162" s="1"/>
  <c r="G77" i="161"/>
  <c r="G138" i="161"/>
  <c r="E81" i="161"/>
  <c r="E138" i="161" s="1"/>
  <c r="C66" i="162"/>
  <c r="D138" i="162"/>
  <c r="D136" i="162" s="1"/>
  <c r="I138" i="162"/>
  <c r="I136" i="162" s="1"/>
  <c r="E9" i="163"/>
  <c r="F81" i="161"/>
  <c r="F138" i="161" s="1"/>
  <c r="G36" i="162"/>
  <c r="H66" i="162"/>
  <c r="E106" i="162"/>
  <c r="D154" i="162"/>
  <c r="H14" i="161" l="1"/>
  <c r="H148" i="161" s="1"/>
  <c r="H154" i="162"/>
  <c r="G200" i="162"/>
  <c r="G196" i="162" s="1"/>
  <c r="D42" i="160"/>
  <c r="E88" i="160"/>
  <c r="F77" i="161"/>
  <c r="H14" i="162"/>
  <c r="J14" i="160"/>
  <c r="J137" i="160" s="1"/>
  <c r="I14" i="162"/>
  <c r="C109" i="160"/>
  <c r="E80" i="160"/>
  <c r="C42" i="160"/>
  <c r="D14" i="162"/>
  <c r="D196" i="162" s="1"/>
  <c r="C14" i="162"/>
  <c r="C196" i="162" s="1"/>
  <c r="G14" i="162"/>
  <c r="L14" i="160"/>
  <c r="L137" i="160" s="1"/>
  <c r="D96" i="160"/>
  <c r="E94" i="160"/>
  <c r="E16" i="160"/>
  <c r="D131" i="160"/>
  <c r="E121" i="160"/>
  <c r="F14" i="161"/>
  <c r="F148" i="161" s="1"/>
  <c r="G14" i="161"/>
  <c r="G148" i="161" s="1"/>
  <c r="E112" i="160"/>
  <c r="D53" i="160"/>
  <c r="D68" i="160"/>
  <c r="E67" i="160"/>
  <c r="C62" i="160"/>
  <c r="C48" i="160"/>
  <c r="C47" i="160" s="1"/>
  <c r="D47" i="160"/>
  <c r="D40" i="160"/>
  <c r="C41" i="160"/>
  <c r="C40" i="160" s="1"/>
  <c r="D16" i="160"/>
  <c r="C135" i="160"/>
  <c r="C134" i="160" s="1"/>
  <c r="D134" i="160"/>
  <c r="C50" i="160"/>
  <c r="C49" i="160" s="1"/>
  <c r="D49" i="160"/>
  <c r="C81" i="160"/>
  <c r="C80" i="160" s="1"/>
  <c r="D80" i="160"/>
  <c r="C89" i="160"/>
  <c r="C88" i="160" s="1"/>
  <c r="D88" i="160"/>
  <c r="D30" i="160"/>
  <c r="E27" i="160"/>
  <c r="D32" i="160"/>
  <c r="C32" i="160" s="1"/>
  <c r="H196" i="162"/>
  <c r="D100" i="160"/>
  <c r="C101" i="160"/>
  <c r="C100" i="160" s="1"/>
  <c r="D112" i="160"/>
  <c r="C114" i="160"/>
  <c r="C112" i="160" s="1"/>
  <c r="D60" i="160"/>
  <c r="C61" i="160"/>
  <c r="C60" i="160" s="1"/>
  <c r="D65" i="160"/>
  <c r="C66" i="160"/>
  <c r="C65" i="160" s="1"/>
  <c r="G14" i="160"/>
  <c r="G137" i="160" s="1"/>
  <c r="C26" i="160"/>
  <c r="C25" i="160" s="1"/>
  <c r="D25" i="160"/>
  <c r="C16" i="160"/>
  <c r="D82" i="159"/>
  <c r="D216" i="159"/>
  <c r="D215" i="159" s="1"/>
  <c r="D213" i="159"/>
  <c r="D211" i="159"/>
  <c r="D209" i="159"/>
  <c r="D207" i="159"/>
  <c r="D202" i="159"/>
  <c r="D200" i="159"/>
  <c r="D198" i="159"/>
  <c r="D196" i="159"/>
  <c r="D194" i="159"/>
  <c r="D191" i="159"/>
  <c r="D189" i="159"/>
  <c r="D187" i="159"/>
  <c r="D184" i="159"/>
  <c r="D183" i="159" s="1"/>
  <c r="D181" i="159"/>
  <c r="D179" i="159"/>
  <c r="D177" i="159"/>
  <c r="D173" i="159"/>
  <c r="D170" i="159"/>
  <c r="D168" i="159"/>
  <c r="D166" i="159"/>
  <c r="D163" i="159"/>
  <c r="D160" i="159"/>
  <c r="D156" i="159"/>
  <c r="D154" i="159"/>
  <c r="D150" i="159"/>
  <c r="D148" i="159"/>
  <c r="D145" i="159"/>
  <c r="D138" i="159"/>
  <c r="D136" i="159"/>
  <c r="D134" i="159"/>
  <c r="D132" i="159"/>
  <c r="D130" i="159"/>
  <c r="D120" i="159"/>
  <c r="D112" i="159"/>
  <c r="D110" i="159"/>
  <c r="D107" i="159"/>
  <c r="D105" i="159"/>
  <c r="D103" i="159"/>
  <c r="D101" i="159"/>
  <c r="D99" i="159"/>
  <c r="D95" i="159"/>
  <c r="D89" i="159"/>
  <c r="D86" i="159"/>
  <c r="D85" i="159" s="1"/>
  <c r="D80" i="159"/>
  <c r="D78" i="159"/>
  <c r="D71" i="159"/>
  <c r="D67" i="159"/>
  <c r="D64" i="159"/>
  <c r="D61" i="159"/>
  <c r="D55" i="159"/>
  <c r="D54" i="159" s="1"/>
  <c r="D51" i="159"/>
  <c r="D50" i="159" s="1"/>
  <c r="D47" i="159"/>
  <c r="D30" i="159"/>
  <c r="D27" i="159"/>
  <c r="D24" i="159"/>
  <c r="D21" i="159"/>
  <c r="D17" i="159"/>
  <c r="D14" i="159"/>
  <c r="D12" i="159"/>
  <c r="D159" i="159" l="1"/>
  <c r="D70" i="159"/>
  <c r="C30" i="160"/>
  <c r="C27" i="160" s="1"/>
  <c r="D27" i="160"/>
  <c r="E14" i="160"/>
  <c r="E137" i="160" s="1"/>
  <c r="C131" i="160"/>
  <c r="C121" i="160" s="1"/>
  <c r="D121" i="160"/>
  <c r="C68" i="160"/>
  <c r="C67" i="160" s="1"/>
  <c r="D67" i="160"/>
  <c r="C53" i="160"/>
  <c r="C51" i="160" s="1"/>
  <c r="D51" i="160"/>
  <c r="C96" i="160"/>
  <c r="C94" i="160" s="1"/>
  <c r="D94" i="160"/>
  <c r="D20" i="159"/>
  <c r="D206" i="159"/>
  <c r="D186" i="159"/>
  <c r="D176" i="159"/>
  <c r="D165" i="159"/>
  <c r="D153" i="159"/>
  <c r="D129" i="159"/>
  <c r="D60" i="159"/>
  <c r="D98" i="159"/>
  <c r="D88" i="159"/>
  <c r="D26" i="159"/>
  <c r="D11" i="159"/>
  <c r="D10" i="159" l="1"/>
  <c r="D14" i="160"/>
  <c r="D137" i="160" s="1"/>
  <c r="C14" i="160"/>
  <c r="C137" i="160" s="1"/>
  <c r="E70" i="158" l="1"/>
  <c r="E65" i="158"/>
  <c r="E39" i="158"/>
  <c r="D47" i="158"/>
  <c r="D46" i="158" s="1"/>
  <c r="E49" i="158"/>
  <c r="E37" i="158"/>
  <c r="E17" i="147" l="1"/>
  <c r="E37" i="147"/>
  <c r="O37" i="147" l="1"/>
  <c r="E33" i="147"/>
  <c r="N32" i="147"/>
  <c r="M31" i="147"/>
  <c r="E31" i="147"/>
  <c r="O31" i="147"/>
  <c r="E29" i="147"/>
  <c r="E28" i="147"/>
  <c r="E27" i="147"/>
  <c r="M26" i="147"/>
  <c r="C40" i="147"/>
  <c r="E25" i="147"/>
  <c r="M25" i="147"/>
  <c r="N25" i="147"/>
  <c r="F39" i="147"/>
  <c r="H24" i="147"/>
  <c r="G24" i="147"/>
  <c r="F24" i="147"/>
  <c r="H39" i="147"/>
  <c r="D24" i="147"/>
  <c r="D23" i="147"/>
  <c r="E23" i="147"/>
  <c r="M21" i="147"/>
  <c r="E21" i="147"/>
  <c r="M20" i="147"/>
  <c r="E20" i="147"/>
  <c r="E19" i="147"/>
  <c r="M17" i="147"/>
  <c r="M15" i="147"/>
  <c r="E89" i="158" l="1"/>
  <c r="E28" i="158" l="1"/>
  <c r="E25" i="158" s="1"/>
  <c r="D26" i="158"/>
  <c r="D25" i="158" s="1"/>
  <c r="E68" i="158" l="1"/>
  <c r="E123" i="158"/>
  <c r="E35" i="158" l="1"/>
  <c r="E35" i="147" l="1"/>
  <c r="I35" i="147"/>
  <c r="N35" i="147"/>
  <c r="F35" i="147"/>
  <c r="G35" i="147"/>
  <c r="H35" i="147"/>
  <c r="J35" i="147"/>
  <c r="K35" i="147"/>
  <c r="L35" i="147"/>
  <c r="M35" i="147"/>
  <c r="O35" i="147"/>
  <c r="P35" i="147"/>
  <c r="D35" i="147"/>
  <c r="E33" i="158" l="1"/>
  <c r="E30" i="158" s="1"/>
  <c r="D31" i="158"/>
  <c r="D30" i="158" s="1"/>
  <c r="E14" i="158" l="1"/>
  <c r="E145" i="158"/>
  <c r="E130" i="158"/>
  <c r="E112" i="158"/>
  <c r="D121" i="158"/>
  <c r="E102" i="158"/>
  <c r="E58" i="158" l="1"/>
  <c r="D73" i="158"/>
  <c r="D72" i="158" s="1"/>
  <c r="D128" i="158"/>
  <c r="D127" i="158" s="1"/>
  <c r="E142" i="158" l="1"/>
  <c r="D143" i="158"/>
  <c r="D142" i="158" s="1"/>
  <c r="E140" i="158"/>
  <c r="E137" i="158" s="1"/>
  <c r="D138" i="158"/>
  <c r="D137" i="158" s="1"/>
  <c r="E135" i="158"/>
  <c r="E132" i="158" s="1"/>
  <c r="D133" i="158"/>
  <c r="D132" i="158" s="1"/>
  <c r="E127" i="158"/>
  <c r="E120" i="158"/>
  <c r="D120" i="158"/>
  <c r="E99" i="158"/>
  <c r="D110" i="158"/>
  <c r="D100" i="158"/>
  <c r="E86" i="158"/>
  <c r="D87" i="158"/>
  <c r="D86" i="158" s="1"/>
  <c r="E75" i="158"/>
  <c r="E72" i="158" s="1"/>
  <c r="E60" i="158"/>
  <c r="E56" i="158"/>
  <c r="E54" i="158"/>
  <c r="E10" i="158"/>
  <c r="D11" i="158"/>
  <c r="D10" i="158" s="1"/>
  <c r="E46" i="158" l="1"/>
  <c r="E154" i="158" s="1"/>
  <c r="D99" i="158"/>
  <c r="D154" i="158" s="1"/>
  <c r="C42" i="147" l="1"/>
  <c r="C41" i="147"/>
  <c r="C38" i="147"/>
  <c r="C33" i="147"/>
  <c r="C32" i="147"/>
  <c r="C31" i="147"/>
  <c r="C30" i="147"/>
  <c r="C29" i="147"/>
  <c r="C28" i="147"/>
  <c r="C26" i="147"/>
  <c r="N13" i="147"/>
  <c r="E13" i="147"/>
  <c r="C22" i="147"/>
  <c r="G13" i="147"/>
  <c r="C20" i="147"/>
  <c r="C18" i="147"/>
  <c r="O13" i="147"/>
  <c r="C16" i="147"/>
  <c r="P13" i="147"/>
  <c r="K13" i="147"/>
  <c r="J13" i="147"/>
  <c r="I13" i="147"/>
  <c r="F13" i="147"/>
  <c r="L13" i="147"/>
  <c r="C15" i="147"/>
  <c r="C39" i="147"/>
  <c r="C17" i="147"/>
  <c r="H13" i="147"/>
  <c r="C19" i="147"/>
  <c r="P43" i="147" l="1"/>
  <c r="J43" i="147"/>
  <c r="H43" i="147"/>
  <c r="K43" i="147"/>
  <c r="N43" i="147"/>
  <c r="I43" i="147"/>
  <c r="G43" i="147"/>
  <c r="F43" i="147"/>
  <c r="E43" i="147"/>
  <c r="C25" i="147"/>
  <c r="L43" i="147"/>
  <c r="M13" i="147"/>
  <c r="C27" i="147"/>
  <c r="C37" i="147"/>
  <c r="O43" i="147"/>
  <c r="C21" i="147"/>
  <c r="C23" i="147"/>
  <c r="D13" i="147"/>
  <c r="D43" i="147" s="1"/>
  <c r="C24" i="147"/>
  <c r="M43" i="147" l="1"/>
  <c r="C35" i="147"/>
  <c r="C13" i="147"/>
  <c r="C43" i="147" l="1"/>
</calcChain>
</file>

<file path=xl/sharedStrings.xml><?xml version="1.0" encoding="utf-8"?>
<sst xmlns="http://schemas.openxmlformats.org/spreadsheetml/2006/main" count="8491" uniqueCount="1165">
  <si>
    <t>11</t>
  </si>
  <si>
    <t>12</t>
  </si>
  <si>
    <t>13</t>
  </si>
  <si>
    <t>14</t>
  </si>
  <si>
    <t>0970</t>
  </si>
  <si>
    <t>Wpływy z różnych dochodów</t>
  </si>
  <si>
    <t>4</t>
  </si>
  <si>
    <t>854</t>
  </si>
  <si>
    <t>EDUKACYJNA OPIEKA WYCHOWAWCZA</t>
  </si>
  <si>
    <t>5</t>
  </si>
  <si>
    <t>6</t>
  </si>
  <si>
    <t>7</t>
  </si>
  <si>
    <t>8</t>
  </si>
  <si>
    <t>9</t>
  </si>
  <si>
    <t>10</t>
  </si>
  <si>
    <t>w złotych</t>
  </si>
  <si>
    <t>Nazwa</t>
  </si>
  <si>
    <t>Ogółem</t>
  </si>
  <si>
    <t>1</t>
  </si>
  <si>
    <t>2</t>
  </si>
  <si>
    <t>3</t>
  </si>
  <si>
    <t>050</t>
  </si>
  <si>
    <t>RYBOŁÓWSTWO I RYBACTWO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</si>
  <si>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</si>
  <si>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</si>
  <si>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</si>
  <si>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</si>
  <si>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</si>
  <si>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</si>
  <si>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</si>
  <si>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</si>
  <si>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752</t>
  </si>
  <si>
    <t>OBRONA NARODOWA</t>
  </si>
  <si>
    <t>801</t>
  </si>
  <si>
    <t>OŚWIATA I WYCHOWANIE</t>
  </si>
  <si>
    <t>851</t>
  </si>
  <si>
    <t>OCHRONA ZDROWIA</t>
  </si>
  <si>
    <t>853</t>
  </si>
  <si>
    <t>900</t>
  </si>
  <si>
    <t>GOSPODARKA KOMUNALNA I OCHRONA ŚRODOWISKA</t>
  </si>
  <si>
    <t>921</t>
  </si>
  <si>
    <t>KULTURA I OCHRONA DZIEDZICTWA NARODOWEGO</t>
  </si>
  <si>
    <t>POZOSTAŁE ZADANIA W ZAKRESIE POLITYKI SPOŁECZNEJ</t>
  </si>
  <si>
    <t>Wojewódzkie urzędy pracy</t>
  </si>
  <si>
    <t>Ochrona powietrza atmosferycznego i klimatu</t>
  </si>
  <si>
    <t>Zmniejszenie hałasu i wibracji</t>
  </si>
  <si>
    <t>Pozostała działalność</t>
  </si>
  <si>
    <t>0690</t>
  </si>
  <si>
    <t>Wpływy z różnych opłat</t>
  </si>
  <si>
    <t>Krajowe pasażerskie przewozy autobusowe</t>
  </si>
  <si>
    <t>Prace geologiczne (nieinwestycyjne)</t>
  </si>
  <si>
    <t>Zadania z zakresu geodezji i kartografii</t>
  </si>
  <si>
    <t>855</t>
  </si>
  <si>
    <t>RODZINA</t>
  </si>
  <si>
    <t>Działalność ośrodków adopcyjnych</t>
  </si>
  <si>
    <t>630</t>
  </si>
  <si>
    <t>TURYSTYKA</t>
  </si>
  <si>
    <t>15</t>
  </si>
  <si>
    <t>16</t>
  </si>
  <si>
    <t>Pozostałe wydatki obronne</t>
  </si>
  <si>
    <t>05095</t>
  </si>
  <si>
    <t>010</t>
  </si>
  <si>
    <t>ROLNICTWO I ŁOWIECTWO</t>
  </si>
  <si>
    <t>01041</t>
  </si>
  <si>
    <t>01042</t>
  </si>
  <si>
    <t>Wyłączenie z produkcji gruntów rolnych</t>
  </si>
  <si>
    <t>05011</t>
  </si>
  <si>
    <t>150</t>
  </si>
  <si>
    <t>Krajowe pasażerskie przewozy kolejowe</t>
  </si>
  <si>
    <t>Drogi publiczne wojewódzkie</t>
  </si>
  <si>
    <t>Gospodarka gruntami i nieruchomościami</t>
  </si>
  <si>
    <t>Biura planowania przestrzennego</t>
  </si>
  <si>
    <t>720</t>
  </si>
  <si>
    <t>Urzędy marszałkowskie</t>
  </si>
  <si>
    <t>758</t>
  </si>
  <si>
    <t>RÓŻNE ROZLICZENIA</t>
  </si>
  <si>
    <t>Szkoły podstawowe specjalne</t>
  </si>
  <si>
    <t>Szkoły policealne</t>
  </si>
  <si>
    <t>Licea ogólnokształcące specjalne</t>
  </si>
  <si>
    <t>Szkoły zawodowe specjalne</t>
  </si>
  <si>
    <t>Placówki kształcenia ustawicznego i centra kształcenia zawodowego</t>
  </si>
  <si>
    <t>Dokształcanie i doskonalenie nauczycieli</t>
  </si>
  <si>
    <t>Biblioteki pedagogiczne</t>
  </si>
  <si>
    <t>POMOC SPOŁECZNA</t>
  </si>
  <si>
    <t>Zadania w zakresie przeciwdziałania przemocy w rodzinie</t>
  </si>
  <si>
    <t>Regionalne ośrodki polityki społecznej</t>
  </si>
  <si>
    <t>Państwowy Fundusz Rehabilitacji Osób Niepełnosprawnych</t>
  </si>
  <si>
    <t>Fundusz Gwarantowanych Świadczeń Pracowniczych</t>
  </si>
  <si>
    <t>Specjalne ośrodki szkolno-wychowawcze</t>
  </si>
  <si>
    <t>Wczesne wspomaganie rozwoju dziecka</t>
  </si>
  <si>
    <t>Placówki wychowania pozaszkolnego</t>
  </si>
  <si>
    <t>Wpływy i wydatki związane z gromadzeniem środków z opłat i kar za korzystanie ze środowiska</t>
  </si>
  <si>
    <t>Wpływy i wydatki związane z gromadzeniem środków z opłat produktowych</t>
  </si>
  <si>
    <t>Pozostałe działania związane z gospodarką odpadami</t>
  </si>
  <si>
    <t>Domy i ośrodki kultury, świetlice i kluby</t>
  </si>
  <si>
    <t>Biblioteki</t>
  </si>
  <si>
    <t>OGRODY BOTANICZNE I ZOOLOGICZNE ORAZ NATURALNE OBSZARY I OBIEKTY CHRONIONEJ PRZYRODY</t>
  </si>
  <si>
    <t>Parki krajobrazowe</t>
  </si>
  <si>
    <t>Gospodarka odpadami komunalnymi</t>
  </si>
  <si>
    <t>Dział</t>
  </si>
  <si>
    <t>852</t>
  </si>
  <si>
    <t>Załącznik nr 1 do Uchwały budżetowej</t>
  </si>
  <si>
    <t>Dochody budżetu Województwa Kujawsko-Pomorskiego wg źródeł pochodzenia</t>
  </si>
  <si>
    <t>Udziały 
w podatkach
 i   
subwencje</t>
  </si>
  <si>
    <t>Pozostałe dochody własne uzyskiwane  przez Województwo      i jednostki budżetowe</t>
  </si>
  <si>
    <t>Dotacje i środki na finansowanie:</t>
  </si>
  <si>
    <t xml:space="preserve"> zadań z udziałem środków z budżetu Unii Europejskiej i innych źródeł zagranicznych</t>
  </si>
  <si>
    <t>zadań pozostałych</t>
  </si>
  <si>
    <t>od jednostek  samorządu  terytorialnego</t>
  </si>
  <si>
    <t>z funduszy celowych</t>
  </si>
  <si>
    <t xml:space="preserve"> z innych źródeł zagranicznych</t>
  </si>
  <si>
    <t xml:space="preserve"> z pozostałych źródeł </t>
  </si>
  <si>
    <t xml:space="preserve">z budżetu państwa </t>
  </si>
  <si>
    <t>na finansowanie części unijnej</t>
  </si>
  <si>
    <t>na finansowanie części krajowej</t>
  </si>
  <si>
    <t>DOCHODY BIEŻĄCE</t>
  </si>
  <si>
    <t>ROLNICTWO I  ŁOWIECTWO</t>
  </si>
  <si>
    <t>756</t>
  </si>
  <si>
    <t>DOCHODY OD OSÓB PRAWNYCH, OD OSÓB FIZYCZNYCH I OD INNYCH JEDNOSTEK NIEPOSIADAJĄCYCH OSOBOWOŚCI PRAWNEJ ORAZ WYDATKI ZWIĄZANE Z ICH POBOREM</t>
  </si>
  <si>
    <t>POZOSTAŁE  ZADANIA W ZAKRESIE POLITYKI SPOŁECZNEJ</t>
  </si>
  <si>
    <t>925</t>
  </si>
  <si>
    <t>DOCHODY MAJĄTKOWE</t>
  </si>
  <si>
    <t>o g ó ł e m :</t>
  </si>
  <si>
    <t>Dochody budżetu Województwa Kujawsko - Pomorskiego wg klasyfikacji budżetowej</t>
  </si>
  <si>
    <t>Dział
Rozdział</t>
  </si>
  <si>
    <t>§</t>
  </si>
  <si>
    <t>Kwota</t>
  </si>
  <si>
    <t>DOCHODY OGÓŁEM</t>
  </si>
  <si>
    <t xml:space="preserve"> </t>
  </si>
  <si>
    <t>Program Rozwoju Obszarów Wiejskich</t>
  </si>
  <si>
    <t>Dotacja celowa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</si>
  <si>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</si>
  <si>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0910</t>
  </si>
  <si>
    <t>Wpływy z odsetek od nieterminowych wpłat z tytułu podatków i opłat</t>
  </si>
  <si>
    <t>Dotacja celowa otrzymana z budżetu państwa na zadania bieżące z zakresu administracji rządowej oraz inne zadania zlecone ustawami realizowane przez samorząd województwa</t>
  </si>
  <si>
    <t>Środki otrzymane od pozostałych jednostek zaliczanych do sektora finansów publicznych na realizacje zadań bieżących jednostek zaliczanych do sektora finansów publicznych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</si>
  <si>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</si>
  <si>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</si>
  <si>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0620</t>
  </si>
  <si>
    <t>Wpływy z opłat za zezwolenia, akredytacje oraz opłaty ewidencyjne, w tym opłaty za częstotliwości</t>
  </si>
  <si>
    <t>0640</t>
  </si>
  <si>
    <t>Wpływy z tytułu kosztów egzekucyjnych, opłaty komorniczej i kosztów upomnień</t>
  </si>
  <si>
    <t>0870</t>
  </si>
  <si>
    <t>Wpływy ze sprzedaży składników majątkowych</t>
  </si>
  <si>
    <t>0940</t>
  </si>
  <si>
    <t>Wpływy z rozliczeń/zwrotów z lat ubiegłych</t>
  </si>
  <si>
    <t>Dotacja celowa otrzymana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</si>
  <si>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</si>
  <si>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0470</t>
  </si>
  <si>
    <t>Wpływy z opłat za trwały zarząd, użytkowanie i służebności</t>
  </si>
  <si>
    <t>0550</t>
  </si>
  <si>
    <t>Wpływy z opłat z tytułu użytkowania wieczystego nieruchomości</t>
  </si>
  <si>
    <t>0760</t>
  </si>
  <si>
    <t>Wpływy z tytułu przekształcenia prawa użytkowania wieczystego w prawo własności</t>
  </si>
  <si>
    <t>Dotacja celowa otrzymana z gminy na zadania bieżące realizowane na podstawie porozumień (umów) między jednostkami samorządu terytorialnego</t>
  </si>
  <si>
    <t>Dotacja celowa otrzymana z powiatu na zadania bieżące realizowane na podstawie porozumień (umów) między jednostkami samorządu terytorialnego</t>
  </si>
  <si>
    <t>0830</t>
  </si>
  <si>
    <t>Wpływy z usług</t>
  </si>
  <si>
    <t>Dotacja celowa otrzymana z budżetu państwa na realizację bieżących zadań własnych samorządu województwa</t>
  </si>
  <si>
    <t>Komisje egzaminacyjne</t>
  </si>
  <si>
    <t xml:space="preserve">Funkcjonowanie wojewódzkich rad dialogu społecznego
</t>
  </si>
  <si>
    <t>Wpływy z innych opłat stanowiących dochody jednostek samorządu terytorialnego na podstawie ustaw</t>
  </si>
  <si>
    <t>0480</t>
  </si>
  <si>
    <t>Wpływy z opłat za zezwolenia na sprzedaż napojów alkoholowych</t>
  </si>
  <si>
    <t>0610</t>
  </si>
  <si>
    <t>Wpływy z opłat egzaminacyjnych oraz opłat za wydawanie świadectw, dyplomów, zaświadczeń, certyfikatów i ich duplikatów</t>
  </si>
  <si>
    <t>Udziały województw w podatkach stanowiących dochód budżetu państwa</t>
  </si>
  <si>
    <t>0010</t>
  </si>
  <si>
    <t>Wpływy z podatku dochodowego od osób fizycznych</t>
  </si>
  <si>
    <t>0020</t>
  </si>
  <si>
    <t>Wpływy z podatku dochodowego od osób prawnych</t>
  </si>
  <si>
    <t>Część oświatowa subwencji ogólnej dla jednostek samorządu terytorialnego</t>
  </si>
  <si>
    <t>Subwencje ogólne z budżetu państwa</t>
  </si>
  <si>
    <t>Część wyrównawcza subwencji ogólnej dla województw</t>
  </si>
  <si>
    <t>Rezerwa subwencji ogólnej dla województw</t>
  </si>
  <si>
    <t>Środki na uzupełnienie dochodów województw</t>
  </si>
  <si>
    <t>Część regionalna subwencji ogólnej dla województw</t>
  </si>
  <si>
    <t>Regionalne Programy Operacyjne 2014-2020 finansowane z udziałem środków Europejskiego Funduszu Rozwoju Regionalnego</t>
  </si>
  <si>
    <t>Dotacja celowa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</si>
  <si>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</si>
  <si>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Regionalne Programy Operacyjne 2014-2020 finansowane z udziałem środków Europejskiego Funduszu Społecznego</t>
  </si>
  <si>
    <t>Dotacja celowa otrzymana z budżetu państwa na zadania bieżące realizowane przez samorząd województwa na podstawie porozumień z organami administracji rządowej</t>
  </si>
  <si>
    <t>Wpływy z wpłat gmin i powiatów na rzecz innych jednostek samorządu terytorialnego oraz związków gmin, związków powiatowo-gminnych, związków powiatów, związków metropolitalnych na dofinansowanie zadań bieżących</t>
  </si>
  <si>
    <t>0400</t>
  </si>
  <si>
    <t>Wpływy z opłaty produktowej</t>
  </si>
  <si>
    <t>Wpływy i wydatki związane z wprowadzeniem do obrotu baterii i akumulatorów</t>
  </si>
  <si>
    <t>0240</t>
  </si>
  <si>
    <t>Wpływy z opłaty recyklingowej</t>
  </si>
  <si>
    <t>Wynagrodzenia osobowe pracowników</t>
  </si>
  <si>
    <t>Dodatkowe wynagrodzenie roczne</t>
  </si>
  <si>
    <t>Składki na ubezpieczenia społeczne</t>
  </si>
  <si>
    <t>Składki na Fundusz Pracy oraz Fundusz Solidarnościowy</t>
  </si>
  <si>
    <t>Wynagrodzenia bezosobowe</t>
  </si>
  <si>
    <t>Nagrody konkursowe</t>
  </si>
  <si>
    <t>Zakup materiałów i wyposażenia</t>
  </si>
  <si>
    <t>Zakup środków żywności</t>
  </si>
  <si>
    <t>Zakup usług remontowych</t>
  </si>
  <si>
    <t>Zakup usług pozostałych</t>
  </si>
  <si>
    <t>Podróże służbowe krajowe</t>
  </si>
  <si>
    <t>Koszty postępowania sądowego i prokuratorskiego</t>
  </si>
  <si>
    <t>Dotacja celowa z budżetu na finansowanie lub dofinansowanie kosztów realizacji inwestycji i zakupów inwestycyjnych jednostek niezaliczanych do sektora finansów publicznych</t>
  </si>
  <si>
    <t>Dotacja celowa przekazana gminie na inwestycje i zakupy inwestycyjne realizowane na podstawie porozumień (umów) między jednostkami samorządu terytorialnego</t>
  </si>
  <si>
    <t>Dotacja celowa z budżetu dla pozostałych jednostek zaliczanych do sektora finansów publicznych</t>
  </si>
  <si>
    <t>Wydatki inwestycyjne jednostek budżetowych</t>
  </si>
  <si>
    <t>Wpłaty na PPK finansowane przez podmiot zatrudniający</t>
  </si>
  <si>
    <t xml:space="preserve">Teatry </t>
  </si>
  <si>
    <t xml:space="preserve">                                                                                              Załącznik nr 2 do Uchwały budżetowej </t>
  </si>
  <si>
    <t>Dochody</t>
  </si>
  <si>
    <t>Wydatki</t>
  </si>
  <si>
    <t>L.p.</t>
  </si>
  <si>
    <t>Realizacja ustawy o ochronie gruntów rolnych i leśnych</t>
  </si>
  <si>
    <t>Przeciwdziałanie alkoholizmowi i innym uzależnieniom</t>
  </si>
  <si>
    <t xml:space="preserve">Dochody i wydatki na zadania 
związane ze szczególnymi zasadami wykonywania budżetu </t>
  </si>
  <si>
    <t>wynikające z odrębnych ustaw</t>
  </si>
  <si>
    <t>rozdział/
paragraf</t>
  </si>
  <si>
    <t xml:space="preserve">Wyszczególnienie </t>
  </si>
  <si>
    <t>ustawa z dnia 3 lutego 1995 r. o ochronie gruntów rolnych i leśnych</t>
  </si>
  <si>
    <t>Opłaty związane z wyłączeniem z produkcji gruntów rolnych</t>
  </si>
  <si>
    <t>Szkolenia pracowników niebędących członkami korpusu służby cywilnej</t>
  </si>
  <si>
    <t xml:space="preserve">ustawa z dnia 26 października 1982 r. o wychowaniu w trzeźwości i przeciwdziałaniu alkoholizmowi </t>
  </si>
  <si>
    <t>Wpływy z opłat za zezwolenia na sprzedaż alkoholu</t>
  </si>
  <si>
    <t>Przeciwdziałanie narkomanii</t>
  </si>
  <si>
    <t>GRANTY-Przeciwdziałanie narkomanii w woj. kujawsko-pomorskim</t>
  </si>
  <si>
    <t>Dotacja celowa z budżetu jednostki samorządu terytorialnego, udzielone w trybie art. 221 ustawy, na finansowanie lub dofinansowanie zadań zleconych do realizacji organizacjom
prowadzącym działalność pożytku publicznego</t>
  </si>
  <si>
    <t>GRANTY-Rozwiązywanie problemów alkoholowych w woj. kujawsko-pomorskim</t>
  </si>
  <si>
    <t>ustawa z dnia 27 sierpnia 1997 r. o rehabilitacji zawodowej i społecznej oraz zatrudnianiu osób niepełnosprawnych</t>
  </si>
  <si>
    <t>Odpis od środków przyznanych z PFRON</t>
  </si>
  <si>
    <t>Obsługa zadań finansowanych ze środków PFRON</t>
  </si>
  <si>
    <t>ustawa z dnia 27 kwietnia 2001 r. Prawo ochrony środowiska</t>
  </si>
  <si>
    <t>Odpis z tytułu wpłat za korzystanie ze środowiska</t>
  </si>
  <si>
    <t>Obsługa opłat środowiskowych</t>
  </si>
  <si>
    <t xml:space="preserve">ustawa z dnia 13 czerwca 2013 r. o gospodarce opakowaniami i odpadami opakowaniowymi </t>
  </si>
  <si>
    <t>Realizacja ustawy o gospodarce opakowaniami i odpadami opakowaniowymi (opłata produktowa za opakowania)</t>
  </si>
  <si>
    <t>Obsługa opłaty recyklingowej od nabywającego torbę na zakupy z tworzywa sztucznego</t>
  </si>
  <si>
    <t xml:space="preserve">ustawa z dnia 24 kwietnia 2009 r. o bateriach i akumulatorach </t>
  </si>
  <si>
    <t>Odpis od dochodów związanych z gromadzeniem środków z tytułu wprowadzania do obrotu baterii i akumulatorów</t>
  </si>
  <si>
    <t>Obsługa opłat związanych z gromadzeniem środków z tytułu wprowadzania do obrotu baterii i akumulatorów</t>
  </si>
  <si>
    <t xml:space="preserve">ustawa z dnia 20 stycznia 2005 r. o recyklingu pojazdów wycofanych z eksploatacji </t>
  </si>
  <si>
    <t>Odpis z tytułu opłat wynikających z ustawy o recyklingu pojazdów wycofanych z eksploatacji</t>
  </si>
  <si>
    <t>Realizacja ustawy o recyklingu pojazdów wycofanych z eksploatacji</t>
  </si>
  <si>
    <t>ustawa z dnia 11 września 2015 r. o zużytym sprzęcie elektrycznym i elektronicznym</t>
  </si>
  <si>
    <t>Odpis z tytułu opłat wynikających z ustawy o zużytym sprzęcie elektrycznym i elektronicznym</t>
  </si>
  <si>
    <t>Realizacja ustawy o zużytym sprzęcie elektrycznym i elektronicznym</t>
  </si>
  <si>
    <t xml:space="preserve">ustawa z dnia 14 grudnia 2012 r. o odpadach 
</t>
  </si>
  <si>
    <t>Obsługa opłaty rejestrowej i opłaty rocznej</t>
  </si>
  <si>
    <t>Ogółem:</t>
  </si>
  <si>
    <t>Realizacja ustawy o obowiązkach przedsiębiorców w zakresie gospodarowania niektórymi odpadami oraz o opłacie produktowej (opłata produktowa za oleje i opony)</t>
  </si>
  <si>
    <r>
      <rPr>
        <sz val="10"/>
        <rFont val="Calibri"/>
        <family val="2"/>
        <charset val="238"/>
        <scheme val="minor"/>
      </rPr>
      <t xml:space="preserve">z budżetu państwa </t>
    </r>
    <r>
      <rPr>
        <b/>
        <sz val="10"/>
        <rFont val="Calibri"/>
        <family val="2"/>
        <charset val="238"/>
        <scheme val="minor"/>
      </rPr>
      <t>- budżet środków europejskich</t>
    </r>
  </si>
  <si>
    <r>
      <rPr>
        <sz val="10"/>
        <rFont val="Calibri"/>
        <family val="2"/>
        <charset val="238"/>
        <scheme val="minor"/>
      </rPr>
      <t xml:space="preserve">z budżetu państwa </t>
    </r>
    <r>
      <rPr>
        <b/>
        <sz val="10"/>
        <rFont val="Calibri"/>
        <family val="2"/>
        <charset val="238"/>
        <scheme val="minor"/>
      </rPr>
      <t>- budżet środków krajowych</t>
    </r>
  </si>
  <si>
    <t>ustawa z dnia 23 października 2018 r. o Rządowym Funduszu Rozwoju Dróg</t>
  </si>
  <si>
    <t>60013</t>
  </si>
  <si>
    <t>Odpis od opłaty recyklingowej od nabywającego torbę na zakupy z tworzywa sztucznego</t>
  </si>
  <si>
    <t>Odpis od wpływów z opłat rejestrowych i opłat rocznych</t>
  </si>
  <si>
    <t>Środki z Rządowego Funduszu Rozwoju Dróg</t>
  </si>
  <si>
    <t>Wpływy z opłaty eksploatacyjnej</t>
  </si>
  <si>
    <t>Staże i specjalizacje medyczne</t>
  </si>
  <si>
    <t>0460</t>
  </si>
  <si>
    <t>Przygotowanie i realizacja zadań w ramach Rządowego Funduszu Rozwoju Dróg (przebudowa dróg wojewódzkich o znaczeniu obronnym)</t>
  </si>
  <si>
    <t>Budowa obwodnicy Tucholi</t>
  </si>
  <si>
    <t>WOTUiW w Toruniu - Podniesienie funkcjonalności WOTUiW w Toruniu</t>
  </si>
  <si>
    <t>Dotacja celowa z budżetu na finansowanie lub dofinansowanie kosztów realizacji inwestycji i zakupów inwestycyjnych innych jednostek sektora finansów publicznych</t>
  </si>
  <si>
    <t>ustawa z dnia 16 grudnia 2005 r. o Funduszu Kolejowym</t>
  </si>
  <si>
    <t>Środki z Funduszu Kolejowego</t>
  </si>
  <si>
    <t>Wydatki na zakupy inwestycyjne jednostek budżetowych</t>
  </si>
  <si>
    <t xml:space="preserve">ustawa z dnia 11 maja 2001 r. o obowiązkach przedsiębiorców w zakresie gospodarowania niektórymi odpadami oraz o opłacie produktowej </t>
  </si>
  <si>
    <t>Zakup elektrycznych zespołów trakcyjnych do wykonywania kolejowych połączeń regionalnych na terenie województwa kujawsko-pomorskiego</t>
  </si>
  <si>
    <t>Odpis od opłaty produktowej wynikający z ustawy o gospodarce opakowaniami i odpadami opakowaniowymi (opłata produktowa za opakowania)</t>
  </si>
  <si>
    <t>Odpis od opłaty produktowej wynikający z ustawy o obowiązkach przedsiębiorców w zakresie gospodarowania niektórymi odpadami oraz o opłacie produktowej (opłata produktowa za oleje i opony)</t>
  </si>
  <si>
    <t>Wpływy z pozostałych odsetek</t>
  </si>
  <si>
    <t>Programy regionalne 2021-2027 finansowane z udziałem środków Europejskiego Funduszu Rozwoju Regionalnego</t>
  </si>
  <si>
    <t>Programy regionalne 2021-2027 finansowane z udziałem środków Europejskiego Funduszu Społecznego Plus</t>
  </si>
  <si>
    <t>Pozostałe zadania w zakresie kultury</t>
  </si>
  <si>
    <t>Dotacja celowa otrzymana z tytułu pomocy finansowej udzielanej między jednostkami samorządu terytorialnego na dofinansowanie własnych zadań bieżących</t>
  </si>
  <si>
    <t>0920</t>
  </si>
  <si>
    <t>Środki na dofinansowanie własnych inwestycji gmin, powiatów (związków gmin, związków powiatowo-gminnych, związków powiatów), samorządów województw, pozyskane z innych źródeł</t>
  </si>
  <si>
    <t xml:space="preserve">Uchwała Nr      /     /23 Sejmiku </t>
  </si>
  <si>
    <t xml:space="preserve">Województwa z dnia     .12.2023 r.       </t>
  </si>
  <si>
    <t>Plan na 2024 rok</t>
  </si>
  <si>
    <t xml:space="preserve">                                                                                              Uchwała Nr        /        /23 Sejmiku </t>
  </si>
  <si>
    <t xml:space="preserve">                                                                                              Województwa z dnia      .12.2023 r.</t>
  </si>
  <si>
    <t xml:space="preserve">                                                                                                                                                          Uchwała Nr       /      /23 Sejmiku</t>
  </si>
  <si>
    <t xml:space="preserve">                                                                                                                                                          Województwa z dnia        .12.2023 r.</t>
  </si>
  <si>
    <t>6290</t>
  </si>
  <si>
    <t>Środki na dofinansowanie własnych inwestycji gmin, powiatów (związków gmin, zwiazków powiatowo-gminnych, związków powiatów), samorządów województw, pozyskane z innych źródeł</t>
  </si>
  <si>
    <t>Budowa obwodnicy  miasta Brodnicy</t>
  </si>
  <si>
    <t>Przebudowa wraz z rozbudową drogi wojewódzkiej Nr 563 Rypin-Żuromin-Mława od km 2+475 do km 16+656. Etap I - Przebudowa drogi wojewódzkiej Nr 563 na odcinku Rypin-Stępowo od km 2+475 do km 10+100</t>
  </si>
  <si>
    <t>Poprawa bezpieczeństwa na przejściach dla pieszych na drogach wojewódzkich oraz w obrębie zatok i peronów przystankowych</t>
  </si>
  <si>
    <t>WOTUiW w Toruniu - Remont pokrycia dachowego w budynku górnym OOC</t>
  </si>
  <si>
    <t>Rozbudowa WOTUiW w Toruniu - dokumentacja techniczna OOC</t>
  </si>
  <si>
    <t xml:space="preserve"> 010</t>
  </si>
  <si>
    <t>01005</t>
  </si>
  <si>
    <t>Prace geodezyjno-urządzeniowe na potrzeby rolnictwa</t>
  </si>
  <si>
    <t>Program Operacyjny Zrównoważony rozwój sektora rybołówstwa i nadbrzeżnych obszarów rybackich 2007-2013, Program Operacyjny Rybactwo i Morze 2014-2020 oraz Program Fundusze Europejskie dla Rybactwa</t>
  </si>
  <si>
    <t>0880</t>
  </si>
  <si>
    <t>Wpływy z opłaty prolongacyjnej</t>
  </si>
  <si>
    <t>0900</t>
  </si>
  <si>
    <t>Wpływy z odsetek od dotacji oraz płatności: wykorzystanych niezgodnie z przeznaczeniem lub wykorzystanych z naruszeniem procedur, o których mowa w art. 184 ustawy, pobranych nienależnie lub w nadmiernej wysokości</t>
  </si>
  <si>
    <t>Wpływy ze zwrotów dotacji oraz płatności wykorzystanych niezgodnie z przeznaczeniem lub wykorzystanych z naruszeniem procedur, o których mowa w art. 184 ustawy, pobranych nienależnie lub w nadmiernej wysokości</t>
  </si>
  <si>
    <t>Środki na dofinansowanie własnych zadań bieżących gmin, powiatów (związków gmin, związków powiatowo-gminnych, związków powiatów), samorządów województw, pozyskane z innych źródeł</t>
  </si>
  <si>
    <t>GRANTY-Aktywizacja środowisk wiejskich w zakresie rozwiazywania problemów alkoholowych i narkomanii</t>
  </si>
  <si>
    <t>Załącznik nr 3 do Uchwały budżetowej</t>
  </si>
  <si>
    <t>Wydatki budżetu Województwa Kujawsko-Pomorskiego wg grup wydatków</t>
  </si>
  <si>
    <t>Dział                   Rozdział</t>
  </si>
  <si>
    <t>z tego:</t>
  </si>
  <si>
    <t>Wydatki bieżące</t>
  </si>
  <si>
    <t>w tym: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</si>
  <si>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</si>
  <si>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</si>
  <si>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</si>
  <si>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</si>
  <si>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</si>
  <si>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</si>
  <si>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Inwestycje i zakupy inwestycyjne                   (w tym dotacje)</t>
  </si>
  <si>
    <t>Zakup i objęcie akcji i udziałów</t>
  </si>
  <si>
    <t>Wynagrodzenia i składki od nich naliczane</t>
  </si>
  <si>
    <t>Zadania statutowe</t>
  </si>
  <si>
    <t>OGÓŁEM</t>
  </si>
  <si>
    <t>01009</t>
  </si>
  <si>
    <t>Spółki wodne</t>
  </si>
  <si>
    <t xml:space="preserve">Program Rozwoju Obszarów Wiejskich                                             </t>
  </si>
  <si>
    <t>01095</t>
  </si>
  <si>
    <t>Program Operacyjny Zrównoważony rozwój sektora rybołówstwa i nadbrzeżnych obszarów rybackich 2007-2013, Program Operacyjny
Rybactwo i Morze 2014-2020 oraz Program Fundusze Europejskie dla Rybactwa</t>
  </si>
  <si>
    <t>PRZETWÓRSTWO PRZEMYSŁOWE</t>
  </si>
  <si>
    <t>15013</t>
  </si>
  <si>
    <t>Rozwój kadr nowoczesnej gospodarki i przedsiębiorczości</t>
  </si>
  <si>
    <t>60001</t>
  </si>
  <si>
    <t>Infrastruktura kolejowa</t>
  </si>
  <si>
    <t>60003</t>
  </si>
  <si>
    <t>Lokalny transport zbiorowy</t>
  </si>
  <si>
    <t>60014</t>
  </si>
  <si>
    <t>Drogi publiczne powiatowe</t>
  </si>
  <si>
    <t>Drogi publiczne gminne</t>
  </si>
  <si>
    <t>60017</t>
  </si>
  <si>
    <t>Drogi wewnętrzne</t>
  </si>
  <si>
    <t>Infrastruktura portowa</t>
  </si>
  <si>
    <t>60095</t>
  </si>
  <si>
    <t>63095</t>
  </si>
  <si>
    <t>70005</t>
  </si>
  <si>
    <t>71003</t>
  </si>
  <si>
    <t>71004</t>
  </si>
  <si>
    <t>Plany zagospodarowania przestrzennego</t>
  </si>
  <si>
    <t>71005</t>
  </si>
  <si>
    <t>71012</t>
  </si>
  <si>
    <t>INFORMATYKA</t>
  </si>
  <si>
    <t>72095</t>
  </si>
  <si>
    <t>730</t>
  </si>
  <si>
    <t>SZKOLNICTWO WYŻSZE I NAUKA</t>
  </si>
  <si>
    <t>73014</t>
  </si>
  <si>
    <t>Działalność dydaktyczna i badawcza</t>
  </si>
  <si>
    <t>75017</t>
  </si>
  <si>
    <t>Samorządowe sejmiki województw</t>
  </si>
  <si>
    <t>75018</t>
  </si>
  <si>
    <t>75058</t>
  </si>
  <si>
    <t>Działalność informacyjna i kulturalna prowadzona za granicą</t>
  </si>
  <si>
    <t>75075</t>
  </si>
  <si>
    <t>Promocja jednostek samorządu terytorialnego</t>
  </si>
  <si>
    <t>75084</t>
  </si>
  <si>
    <t>Funkcjonowanie wojewódzkich rad dialogu społecznego</t>
  </si>
  <si>
    <t>75095</t>
  </si>
  <si>
    <t>75212</t>
  </si>
  <si>
    <t>754</t>
  </si>
  <si>
    <t>BEZPIECZEŃSTWO PUBLICZNE I OCHRONA PRZECIWPOŻAROWA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</si>
  <si>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</si>
  <si>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</si>
  <si>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</si>
  <si>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</si>
  <si>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- kredyty i pożyczki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</si>
  <si>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</si>
  <si>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</si>
  <si>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</si>
  <si>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</si>
  <si>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</si>
  <si>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Przedszkola</t>
  </si>
  <si>
    <t>80105</t>
  </si>
  <si>
    <t>Przedszkola specjalne</t>
  </si>
  <si>
    <t>80113</t>
  </si>
  <si>
    <t>Dowożenie uczniów do szkół</t>
  </si>
  <si>
    <t>80116</t>
  </si>
  <si>
    <t>80121</t>
  </si>
  <si>
    <t>80134</t>
  </si>
  <si>
    <t>80140</t>
  </si>
  <si>
    <t>80146</t>
  </si>
  <si>
    <t>80147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</si>
  <si>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</si>
  <si>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</si>
  <si>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80195</t>
  </si>
  <si>
    <t>Szpitale ogólne</t>
  </si>
  <si>
    <t>Medycyna pracy</t>
  </si>
  <si>
    <t>Programy polityki zdrowotnej</t>
  </si>
  <si>
    <t>Zwalczanie narkomanii</t>
  </si>
  <si>
    <t>Przeciwdziałanie alkoholizmowi</t>
  </si>
  <si>
    <t>Ośrodki wsparcia</t>
  </si>
  <si>
    <t>Pomoc dla cudzoziemców</t>
  </si>
  <si>
    <t>Rehabilitacja zawodowa i społeczna osób niepełnosprawnych</t>
  </si>
  <si>
    <t xml:space="preserve">EDUKACYJNA OPIEKA WYCHOWAWCZA </t>
  </si>
  <si>
    <t>Internaty i bursy szkolne</t>
  </si>
  <si>
    <t>Pomoc materialna dla uczniów o charakterze socjalnym</t>
  </si>
  <si>
    <t>Pomoc materialna dla uczniów o charakterze motywacyjnym</t>
  </si>
  <si>
    <t>Wpływy i wydatki związane z wprowadzaniem do obrotu baterii i akumulatorów</t>
  </si>
  <si>
    <t>Teatry</t>
  </si>
  <si>
    <t>Filharmonie, orkiestry, chóry i kapele</t>
  </si>
  <si>
    <t>Galerie i biura wystaw artystycznych</t>
  </si>
  <si>
    <t>Centra kultury i sztuki</t>
  </si>
  <si>
    <t>Muzea</t>
  </si>
  <si>
    <t>Ochrona zabytków i opieka nad zabytkami</t>
  </si>
  <si>
    <t xml:space="preserve">KULTURA FIZYCZNA </t>
  </si>
  <si>
    <t>Zadania w zakresie kultury fizycznej</t>
  </si>
  <si>
    <t>Załącznik nr 9 do Uchwały budżetowej</t>
  </si>
  <si>
    <t>Wydatki na zadania inwestycyjne</t>
  </si>
  <si>
    <t>Nazwa zadania inwestycyjnego</t>
  </si>
  <si>
    <t>Okres realizacji</t>
  </si>
  <si>
    <t>Ogólny koszt zadania</t>
  </si>
  <si>
    <t>Przewidywane nakłady poniesione do końca 2023 r.</t>
  </si>
  <si>
    <t>Planowane wydatki</t>
  </si>
  <si>
    <t>Jednostka organizacyjna realizująca zadanie lub koordynująca wykonanie zadania</t>
  </si>
  <si>
    <t>na rok budżetowy 2024</t>
  </si>
  <si>
    <t>z tego źródła finansowania:</t>
  </si>
  <si>
    <t>środki własne Województwa</t>
  </si>
  <si>
    <t>dotacje/środki</t>
  </si>
  <si>
    <t>6a</t>
  </si>
  <si>
    <t>6b</t>
  </si>
  <si>
    <t>x</t>
  </si>
  <si>
    <t>I. Inwestycje jednoroczne</t>
  </si>
  <si>
    <t>Budowa i modernizacja dróg dojazdowych do gruntów rolnych, rekultywacja i poprawa jakości gruntów rolnych oraz odtworzenie możliwości retencjonowania wody</t>
  </si>
  <si>
    <t>Urząd Marszałkowski w Toruniu</t>
  </si>
  <si>
    <t>60002</t>
  </si>
  <si>
    <t xml:space="preserve">Budowa wiaduktów i przystanków kolejowych w bydgosko-toruńskim obszarze metropolitalnym-uzyskanie certyfikatów zgodności dla podsystemów i składników interoperacyjności WE w kolejnictwie </t>
  </si>
  <si>
    <t>Modernizacja dróg</t>
  </si>
  <si>
    <t>Zarząd Dróg Wojewódzkich w Bydgoszczy</t>
  </si>
  <si>
    <t>Wykup gruntu</t>
  </si>
  <si>
    <t>Drogowa Inicjatywa Samorządowa</t>
  </si>
  <si>
    <t>Ograniczenie emisji spalin poprzez rozbudowę dróg rowerowych dla Części 2 - Złotoria-Nowa Wieś-Lubicz Górny - w ciągu drogi wojewódzkiej nr 657 - Budowa kanalizacji deszczowej w miejscowości Nowa Wieś na odcinku ok. 2180 m oraz wykonanie II etapu robót budowlanych</t>
  </si>
  <si>
    <t>Modernizacja dróg kluczowych Regionalnego planu transportowego województwa kujawsko-pomorskiego na lata 2021-2027</t>
  </si>
  <si>
    <t>Roboty dodatkowe i uzupełniające związane z realizacją inwestycji drogowych w ramach Funduszy Europejskich dla Kujaw i Pomorza</t>
  </si>
  <si>
    <t>Modyfikacja przyczółków przeprawy promowej w Solcu Kujawskim i Czarnowie</t>
  </si>
  <si>
    <t>Zakupy inwestycyjne</t>
  </si>
  <si>
    <t xml:space="preserve">Program rewitalizacji i ochrony zadrzewień alejowych przy drogach wojewódzkich </t>
  </si>
  <si>
    <t>Budowa magazynów soli</t>
  </si>
  <si>
    <t>Wydatki inwestycyjne</t>
  </si>
  <si>
    <t xml:space="preserve">Modernizacja budynków </t>
  </si>
  <si>
    <t>Wykonanie instalacji sygnalizacji pożaru</t>
  </si>
  <si>
    <t>Pedagogiczna Biblioteka Wojewódzka w Bydgoszczy</t>
  </si>
  <si>
    <t>Kujawsko-Pomorski Specjalny Ośrodek Szkolno-Wychowawczy im. J. Korczaka w Toruniu</t>
  </si>
  <si>
    <t>85111</t>
  </si>
  <si>
    <t>Budowa instalacji fotowoltaicznej na dachach obiektów Centrum Onkologii w Bydgoszczy</t>
  </si>
  <si>
    <t>Centrum Onkologii w Bydgoszczy</t>
  </si>
  <si>
    <t>Dostosowanie Oddziału Hematologii do transplantologii szpiku kostnego</t>
  </si>
  <si>
    <t>Wojewódzki Szpital Zespolony w Toruniu</t>
  </si>
  <si>
    <t>85154</t>
  </si>
  <si>
    <t>Podniesienie funkcjonalności WOTUiW w Toruniu</t>
  </si>
  <si>
    <t>Wojewódzki Ośrodek Terapii Uzależnień i Współuzależnienia w Toruniu</t>
  </si>
  <si>
    <t>85217</t>
  </si>
  <si>
    <t>Regionalny Ośrodek Polityki Społecznej w Toruniu</t>
  </si>
  <si>
    <t>Budowa węzła cieplnego</t>
  </si>
  <si>
    <t>85332</t>
  </si>
  <si>
    <t>Modernizacja sieci telefonicznej</t>
  </si>
  <si>
    <t>Wojewódzki Urząd Pracy w Toruniu</t>
  </si>
  <si>
    <t>Zakup przełącznika "core" sieci komputerowej LAN</t>
  </si>
  <si>
    <t>85403</t>
  </si>
  <si>
    <t>Kujawsko-Pomorski Specjalny Ośrodek Szkolno-Wychowawczy nr 2 dla Dzieci i Młodzieży Słabo Słyszącej i Niesłyszącej im. gen. Stanisława Maczka w Bydgoszczy</t>
  </si>
  <si>
    <t>Modernizacja warsztatów kształcenia zawodowego w KPSOSW im. J. Korczaka w Toruniu</t>
  </si>
  <si>
    <t>85410</t>
  </si>
  <si>
    <t>Rozbudowa i modernizacja internatu K-PCKZ w Bydgoszczy - opracowanie dokumentacji</t>
  </si>
  <si>
    <t>92106</t>
  </si>
  <si>
    <t>Opera Nova w Bydgoszczy</t>
  </si>
  <si>
    <t>Modernizacja systemu oświetlenia Sceny na Zapleczu oraz zakup urządzeń oświetleniowych wraz z zakupem maszyny do mgły do Dużej Sceny</t>
  </si>
  <si>
    <t>Teatr im. W. Horzycy w Toruniu</t>
  </si>
  <si>
    <t>Dostosowanie zabytkowego budynku Teatru im. Wilama Horzycy do wymagań ochrony przeciwpożarowej - wykonanie dokumentacji projektowej</t>
  </si>
  <si>
    <t xml:space="preserve">Teatr im. W. Horzycy w Toruniu </t>
  </si>
  <si>
    <t>92109</t>
  </si>
  <si>
    <t>Zakup wyposażenia</t>
  </si>
  <si>
    <t>Pałac Lubostroń w Lubostroniu</t>
  </si>
  <si>
    <t>Ośrodek Chopinowski w Szafarni</t>
  </si>
  <si>
    <t>92110</t>
  </si>
  <si>
    <t>Zakup nowego systemu oświetlenia i klimatyzacji do siedziby Galerii przy Rynku Nowomiejskim 17 w Toruniu</t>
  </si>
  <si>
    <t>Galeria i Ośrodek Plastycznej Twórczości Dziecka w Toruniu</t>
  </si>
  <si>
    <t>Zakup systemu oświetlenia i klimatyzacji do budynku Galerii przy ul. Rabiańskiej 20 w Toruniu</t>
  </si>
  <si>
    <t>Galeria Sztuki "Wozownia" w Toruniu</t>
  </si>
  <si>
    <t>92116</t>
  </si>
  <si>
    <t>Wojewódzka Biblioteka Publiczna-Książnica Kopernikańska w Toruniu</t>
  </si>
  <si>
    <t>Zapewnienie dostępności osobom ze szczególnymi potrzebami w obiektach Książnicy Kopernikańskiej - Książnica dostępna</t>
  </si>
  <si>
    <t>Wojewódzka Biblioteka Publiczna - Książnica Kopernikańska w Toruniu</t>
  </si>
  <si>
    <t>92118</t>
  </si>
  <si>
    <t>Muzeum Archeologiczne w Biskupinie</t>
  </si>
  <si>
    <t>Wykonanie przewiertu i przyłącza wodociągowego</t>
  </si>
  <si>
    <t>Wykonanie instalacji sygnalizacji pożaru dla budynku administracji</t>
  </si>
  <si>
    <t>92502</t>
  </si>
  <si>
    <t>System informacji geograficznej TPK - zakup licencji</t>
  </si>
  <si>
    <t>Tucholski Park Krajobrazowy</t>
  </si>
  <si>
    <t>Termomodernizacja siedziby ZPKnDW</t>
  </si>
  <si>
    <t>Zespół Parków Krajobrazowych nad Dolną Wisłą</t>
  </si>
  <si>
    <t>926</t>
  </si>
  <si>
    <t>KULTURA FIZYCZNA</t>
  </si>
  <si>
    <t>92605</t>
  </si>
  <si>
    <t>Mała architektura i budowa infrastruktury sportowej przy obiektach edukacyjnych - wsparcie finansowe</t>
  </si>
  <si>
    <t>Wsparcie realizacji inicjatyw o charakterze rekreacyjno-sportowym</t>
  </si>
  <si>
    <t>Akademickie Centrum Sportu Politechniki Bydgoskiej - II etap</t>
  </si>
  <si>
    <t>Budowa hali lekkoatletycznej i strzelectwa sportowego na terenie Kompleksu Sportowego Zawisza w Bydgoszczy - pomoc finansowa</t>
  </si>
  <si>
    <t>RAZEM</t>
  </si>
  <si>
    <t>II. Inwestycje wieloletnie</t>
  </si>
  <si>
    <t>Przygotowanie i realizacja zadań w ramach Rządowego Funduszu Rozwoju Dróg</t>
  </si>
  <si>
    <t>2020-2025</t>
  </si>
  <si>
    <t xml:space="preserve">Zarząd Dróg Wojewódzkich w Bydgoszczy </t>
  </si>
  <si>
    <t>Przebudowa drogi wojewódzkiej Nr 251 od km 45+145 do km 46+800 odc. Młodocin-Pturek wraz z przebudową przepustu w km 46+216</t>
  </si>
  <si>
    <t>2019-2024</t>
  </si>
  <si>
    <t>2022-2025</t>
  </si>
  <si>
    <t>Przebudowa wraz z rozbudową drogi wojewódzkiej Nr 563 Rypin-Żuromin-Mława od km 2+475 do km 16+656. Etap II - Przebudowa drogi wojewódzkiej Nr 563 na odcinku Stępowo - granica województwa od km 10+100 do km 16+656</t>
  </si>
  <si>
    <t>2023-2024</t>
  </si>
  <si>
    <t>Odnowa nawierzchni drogi wojewódzkiej Nr 243 Mrocza-Koronowo (DK25) odc. Mrocza-Prosperowo od km 0+120 do km 4+320 dł. 4,200 km</t>
  </si>
  <si>
    <t>2022-2024</t>
  </si>
  <si>
    <t>Przebudowa wiaduktu w ciągu drogi wojewódzkiej Nr 240 Chojnice-Świecie w km 64+533 w miejscowości Terespol Pomorski</t>
  </si>
  <si>
    <t>2021-2024</t>
  </si>
  <si>
    <t>Poprawa warunków obsługi i rozwoju terenu Brzeskiej Strefy Gospodarczej poprzez modernizację drogi wojewódzkiej nr 268</t>
  </si>
  <si>
    <t>2023-2026</t>
  </si>
  <si>
    <t>Rozbudowa drogi wojewódzkiej Nr 272 od skrzyżowania z drogą wojewódzką nr 239, drogą powiatową nr 1046C do ul. Szkolnej w Laskowicach na odcinku ok. 990 mb</t>
  </si>
  <si>
    <t>Odnowa nawierzchni DW 269 odcinek Wola Adamowa-Choceń od km 45+540 do km 48+448, dł. 2,908 km</t>
  </si>
  <si>
    <t>Rozbudowa drogi wojewódzkiej Nr 244 Kamieniec-Strzelce Dolne, m. Żołędowo, ul. Jastrzębia od km 30+068 do km 33+342, dł. 3,274 km</t>
  </si>
  <si>
    <t>2023-2025</t>
  </si>
  <si>
    <t>Rozbudowa drogi wojewódzkiej Nr 551 Strzyżawa-Unisław-Wąbrzeźno poprzez budowę drogi rowerowej na odcinku Kończewice-Warszewice-Bogusławki</t>
  </si>
  <si>
    <t>Roboty dodatkowe i uzupełniające oraz waloryzacja kosztów inwestycyjnych - ścieżki rowerowe</t>
  </si>
  <si>
    <t>Przebudowa obiektów mostowych w ciągach dróg wojewódzkich</t>
  </si>
  <si>
    <t>Modernizacja dróg wojewódzkich w zakresie wyeliminowania miejsc niebezpiecznych</t>
  </si>
  <si>
    <t>2022-2029</t>
  </si>
  <si>
    <t>Prace projektowe związane z Nową Perspektywą Finansową 2021-2027</t>
  </si>
  <si>
    <t>2021-2025</t>
  </si>
  <si>
    <t>Plan rozwoju sieci drogowej - dokumentacje</t>
  </si>
  <si>
    <t>Budowa obwodnicy miasta Rypina, w tym opracowanie Studium Techniczno-Ekonomiczno-Środowiskowego wraz z uzyskaniem decyzji o środowiskowych uwarunkowaniach zgody na realizację przedsięwzięcia</t>
  </si>
  <si>
    <t>2021-2027</t>
  </si>
  <si>
    <t xml:space="preserve">Budowa obwodnicy Więcborka wraz z opracowaniem Studium Techniczno-Ekonomiczno-Środowiskowego </t>
  </si>
  <si>
    <t>2019-2026</t>
  </si>
  <si>
    <t>Budowa obwodnicy miejscowości Trląg wraz z dokumentacją projektową</t>
  </si>
  <si>
    <t>2022-2027</t>
  </si>
  <si>
    <t>Budowa obwodnicy miasta Brodnicy</t>
  </si>
  <si>
    <t>2022-2026</t>
  </si>
  <si>
    <t>Budowa obwodnicy miejscowości Lisewo</t>
  </si>
  <si>
    <t>Przebudowa dróg powiatowych w powiecie chełmińskim o długości 10,600 km - wsparcie finansowe</t>
  </si>
  <si>
    <t>Przebudowa dróg powiatowych w powiecie wąbrzeskim o długości 23,000 km - wsparcie finansowe</t>
  </si>
  <si>
    <t>60016</t>
  </si>
  <si>
    <t xml:space="preserve">Opracowanie dokumentacji Studium Techniczno-Ekonomiczno-Środowiskowego dla połączenia Miasta Bydgoszczy  z węzłem drogowym na trasie szybkiego ruchu S5 i S10 w miejscowości Białe Błota - wsparcie finansowe </t>
  </si>
  <si>
    <t>2018-2024</t>
  </si>
  <si>
    <r>
      <t>Budowa parkingu przy Operze Nova w Bydgoszczy</t>
    </r>
    <r>
      <rPr>
        <i/>
        <sz val="10"/>
        <rFont val="Calibri"/>
        <family val="2"/>
        <charset val="238"/>
      </rPr>
      <t xml:space="preserve"> </t>
    </r>
  </si>
  <si>
    <t>Modernizacja nieruchomości w Toruniu przy ul. Św. Jakuba 3-5, Wola Zamkowa 8-10, 10A i 12A (rozliczenie z użytkownikiem)</t>
  </si>
  <si>
    <t>2016-2031</t>
  </si>
  <si>
    <t>Kultura w zasięgu 3.0 - wkład własny wojewódzkich jednostek organizacyjnych</t>
  </si>
  <si>
    <t>2023-2027</t>
  </si>
  <si>
    <t>Modernizacja i rozbudowa budynku Urzędu Marszałkowskiego - Etap I</t>
  </si>
  <si>
    <t>2009-2025</t>
  </si>
  <si>
    <t>KPCEN we Włocławku - Rozbudowa budynku</t>
  </si>
  <si>
    <t>Zbudowanie systemu koordynacji i monitorowania regionalnych działań na rzecz kształcenia zawodowego, szkolnictwa wyższego oraz uczenia się przez całe życie, w tym uczenia się dorosłych - KPO - zakupy inwestycyjne</t>
  </si>
  <si>
    <t>Przebudowa i nadbudowa budynku B Wojewódzkiego Szpitala Obserwacyjno-Zakaźnego przy ul. Św. Floriana 12 w Bydgoszczy</t>
  </si>
  <si>
    <t>Wojewódzki Szpital Obserwacyjno-Zakaźny w Bydgoszczy</t>
  </si>
  <si>
    <t xml:space="preserve">Opracowanie dokumentacji projektowej dla strategicznych zadań w szpitalach wojewódzkich </t>
  </si>
  <si>
    <t>2024-2025</t>
  </si>
  <si>
    <t>K-PSOSW Nr 2 w Bydgoszczy - Prace związane z dostosowaniem budynku do wymogów p-poż</t>
  </si>
  <si>
    <t>Rozbudowa Opery Nova w Bydgoszczy o IV krąg</t>
  </si>
  <si>
    <t>Wykonanie robót budowlanych polegających na remoncie, przebudowie i modernizacji istniejącego Zespołu Pałacowo-Parkowego w miejscowości Wieniec koło Włocławka wraz z infrastrukturą zewnętrzną i zagospodarowaniem terenu Parku</t>
  </si>
  <si>
    <t>Kujawsko-Pomorski Teatr Muzyczny w Toruniu</t>
  </si>
  <si>
    <t>Rozszerzenie funkcjonalności teatralno-koncertowej poprzez rozbudowę i doposażenie dawnego budynku kinoteatru Grunwald</t>
  </si>
  <si>
    <t>2020-2024</t>
  </si>
  <si>
    <t>92108</t>
  </si>
  <si>
    <t>Rozbudowa Filharmonii Pomorskiej w Bydgoszczy</t>
  </si>
  <si>
    <t>Filharmonia Pomorska im. J. Paderewskiego w Bydgoszczy</t>
  </si>
  <si>
    <t>Adaptacja pomieszczeń piwnicznych w budynku Kujawsko-Pomorskiego Centrum Kultury w Bydgoszczy</t>
  </si>
  <si>
    <t>Kujawsko-Pomorskie Centrum Kultury w Bydgoszczy</t>
  </si>
  <si>
    <t>Uporządkowanie gospodarki wodno-ściekowej i energetycznej w zespole pałacowo-parkowym w Lubostroniu</t>
  </si>
  <si>
    <t>2024-2026</t>
  </si>
  <si>
    <t>Młyn Energii - dostosowanie obiektu Młyna Górnego w Grudziądzu do funkcji kulturalno-edukacyjnych</t>
  </si>
  <si>
    <t>Kujawsko-Pomorskie Centrum Edukacji i Innowacji w Toruniu</t>
  </si>
  <si>
    <t>Przygotowanie dokumentacji projektowo-kosztorysowej modernizacji budynku przy ul. Czerwona Droga 8 w Toruniu</t>
  </si>
  <si>
    <t>Kujawsko-Pomorskie Centrum Dziedzictwa w Toruniu</t>
  </si>
  <si>
    <t>Rozbudowa i dostosowanie budynku Wojewódzkiej Biblioteki Publicznej-Książnicy Kopernikańskiej w Toruniu do nowych funkcji użytkowych</t>
  </si>
  <si>
    <t>Rozbudowa Muzeum Archeologicznego w Biskupinie - I etap dokumentacja</t>
  </si>
  <si>
    <t>Przebudowa budynków MZKiD we Włocławku</t>
  </si>
  <si>
    <t>Muzeum Ziemi Kujawskiej i Dobrzyńskiej we Włocławku</t>
  </si>
  <si>
    <t>Modernizacja budynku przy ul. Odrodzenia 4/6 w Toruniu - przygotowanie dokumentacji projektowej</t>
  </si>
  <si>
    <t>Muzeum Etnograficzne w Toruniu</t>
  </si>
  <si>
    <t>III. Inwestycje ujęte w Regionalnym Programie Operacyjnym Województwa Kujawsko-Pomorskiego 2014-2020</t>
  </si>
  <si>
    <t>IV. Inwestycje ujęte w Programie Fundusze Europejskie dla Kujaw i Pomorza 2021-2027</t>
  </si>
  <si>
    <t xml:space="preserve">Zadania z zakresu administracji rządowej zlecone ustawami Samorządowi Województwa </t>
  </si>
  <si>
    <t>Część A załącznika</t>
  </si>
  <si>
    <t xml:space="preserve">Dział Rozdział
 </t>
  </si>
  <si>
    <t>Wyszczególnienie</t>
  </si>
  <si>
    <t>Plan dochodów</t>
  </si>
  <si>
    <t>Plan wydatków</t>
  </si>
  <si>
    <t>Dotacje Budżetu Państwa</t>
  </si>
  <si>
    <t>Fundusze celowe</t>
  </si>
  <si>
    <t>3a</t>
  </si>
  <si>
    <t>3b</t>
  </si>
  <si>
    <t>4a</t>
  </si>
  <si>
    <t>4b</t>
  </si>
  <si>
    <t>ZADANIE - PRACE GEODEZYJNO-URZĄDZENIOWE NA POTRZEBY ROLNICTWA</t>
  </si>
  <si>
    <t>Dotacje na zadania bieżące</t>
  </si>
  <si>
    <t>Pozostałe wydatki bieżące</t>
  </si>
  <si>
    <t>ZADANIE - RYBACTWO ŚRÓDLĄDOWE</t>
  </si>
  <si>
    <t>ZADANIE - KRAJOWE PASAŻERSKIE PRZEWOZY AUTOBUSOWE</t>
  </si>
  <si>
    <t>Dotacje celowe bieżące</t>
  </si>
  <si>
    <t>ZADANIE - UPRAWNIENIA KOMUNIKACYJNE</t>
  </si>
  <si>
    <t>ZADANIE - USŁUGI TURYSTYCZNE</t>
  </si>
  <si>
    <t>ZADANIE - PRACE GEOLOGICZNE</t>
  </si>
  <si>
    <t>ZADANIE - PRACE GEODEZYJNE I KARTOGRAFICZNE</t>
  </si>
  <si>
    <t>ZADANIE - OBSŁUGA KUJAWSKO-POMORSKIEJ RADY DIALOGU SPOŁECZNEGO</t>
  </si>
  <si>
    <t>ZADANIE - OBRONA NARODOWA</t>
  </si>
  <si>
    <t>85157</t>
  </si>
  <si>
    <t>ZADANIE - STAŻE PODYPLOMOWE LEKARZY I LEKARZY DENTYSTÓW</t>
  </si>
  <si>
    <t>85195</t>
  </si>
  <si>
    <t>ZADANIE - OCHRONA ZDROWIA PSYCHICZNEGO</t>
  </si>
  <si>
    <t>ZADANIE - SŁUŻBA ZASTĘPCZA</t>
  </si>
  <si>
    <t>85509</t>
  </si>
  <si>
    <t>ZADANIE - GRANTY - WSPIERANIE DZIAŁAŃ Z ZAKRESU OPIEKI ADOPCYJNO-OPIEKUŃCZEJ</t>
  </si>
  <si>
    <t>ZADANIE - KUJAWSKO-POMORSKI OŚRODEK ADOPCYJNY W TORUNIU - UTRZYMANIE JEDNOSTKI</t>
  </si>
  <si>
    <t>90002</t>
  </si>
  <si>
    <t>ZADANIE - GOSPODARKA ODPADAMI</t>
  </si>
  <si>
    <t>90005</t>
  </si>
  <si>
    <t>ZADANIE - PROGRAMY OCHRONY POWIETRZA</t>
  </si>
  <si>
    <t>90007</t>
  </si>
  <si>
    <t>ZADANIE - PROGRAMY OCHRONY PRZED HAŁASEM</t>
  </si>
  <si>
    <t>ZADANIE - OPRACOWANIE PROGRAMU OCHRONY ŚRODOWISKA PRZED HAŁASEM DLA WOJEWÓDZTWA KUJAWSKO-POMORSKIEGO</t>
  </si>
  <si>
    <t>90095</t>
  </si>
  <si>
    <t>ZADANIE - OCHRONA ŚRODOWISKA</t>
  </si>
  <si>
    <t>pozostałe wydatki bieżące</t>
  </si>
  <si>
    <t>dotacje celowe bieżące</t>
  </si>
  <si>
    <t>Plan dochodów uzyskiwanych w realizacji zadań zleconych 
z zakresu administracji rządowej na 2024 rok</t>
  </si>
  <si>
    <t>Część B załącznika</t>
  </si>
  <si>
    <t>Dział           Rozdział
§</t>
  </si>
  <si>
    <t>Zadanie</t>
  </si>
  <si>
    <t>w tym należne do:</t>
  </si>
  <si>
    <t>Budżetu Państwa</t>
  </si>
  <si>
    <t>Budżetu Województwa</t>
  </si>
  <si>
    <t>Opłaty z tytułu wydawania zaświadczeń ADR i ich wtórników</t>
  </si>
  <si>
    <t>Opłaty związane z zaszeregowaniem obiektu hotelarskiego do określonego rodzaju i kategorii</t>
  </si>
  <si>
    <t>Wynagrodzenie z tytułu ustanowienia użytkowania górniczego</t>
  </si>
  <si>
    <t>75046</t>
  </si>
  <si>
    <t>Opłaty za przeprowadzenie egzaminu w zakresie gospodarowania odpadami</t>
  </si>
  <si>
    <t xml:space="preserve">                                                                                                                        Załącznik nr 4 do Uchwały budżetowej </t>
  </si>
  <si>
    <t xml:space="preserve">                                                                                                                        Uchwała Nr        /        /23 Sejmiku </t>
  </si>
  <si>
    <t xml:space="preserve">                                                                                                                        Województwa z dnia      .12.2023 r.</t>
  </si>
  <si>
    <t>Wydatki budżetu Województwa Kujawsko - Pomorskiego wg klasyfikacji budżetowej</t>
  </si>
  <si>
    <t>WYDATKI OGÓŁEM</t>
  </si>
  <si>
    <t>Dotacja celowa na pomoc finansową udzielaną między jednostkami samorządu terytorialnego na dofinansowanie własnych zadań bieżących</t>
  </si>
  <si>
    <t>Zwrot dotacji oraz płatności wykorzystanych niezgodnie z przeznaczeniem lub wykorzystanych z naruszeniem procedur, o których mowa w art. 184 ustawy, pobranych nienależnie lub w nadmiernej wysokości</t>
  </si>
  <si>
    <t>Zakup energii</t>
  </si>
  <si>
    <t>Opłaty z tytułu zakupu usług telekomunikacyjnych</t>
  </si>
  <si>
    <t>Zakup usług obejmujacych tłumaczenia</t>
  </si>
  <si>
    <t>Opłaty za administrowanie i czynsze za budynki, lokale i pomieszczenia garażowe</t>
  </si>
  <si>
    <t>Podróże służbowe zagraniczne</t>
  </si>
  <si>
    <t>Różne opłaty i składki</t>
  </si>
  <si>
    <t xml:space="preserve">Szkolenia pracowników niebędących członkami korpusu służby cywilnej </t>
  </si>
  <si>
    <t>Dotacja celowa przekazana gminie na zadania bieżące realizowane na podstawie porozumień (umów) między jednostkami samorządu terytorialnego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</si>
  <si>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</si>
  <si>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Podatek od nieruchomości</t>
  </si>
  <si>
    <t>Dotacja przedmiotowa z budżetu dla jednostek niezaliczanych do sektora finansów publicznych</t>
  </si>
  <si>
    <t>Zakup usług obejmujących wykonanie ekspertyz, analiz i opinii</t>
  </si>
  <si>
    <t>Dotacja celowa przekazana dla powiatu na zadania bieżące realizowane na podstawie porozumień (umów) między jednostkami samorządu terytorialnego</t>
  </si>
  <si>
    <t>Dotacja celowa z budżetu na finansowanie lub dofinansowanie zadań zleconych do realizacji pozostałym jednostkom niezaliczanym do sektora finansów publicznych</t>
  </si>
  <si>
    <t>Odsetki od dotacji oraz płatności: wykorzystanych niezgodnie z przeznaczeniem lub wykorzystanych z naruszeniem procedur, o których mowa w art. 184 ustawy, pobranych nienależnie lub  w nadmiernej wysokości</t>
  </si>
  <si>
    <t>Opłaty na rzecz budżetu państwa</t>
  </si>
  <si>
    <t>Opłaty na rzecz budżetów jednostek samorządu terytorialnego</t>
  </si>
  <si>
    <t>Dotacja celowa na pomoc finansową udzielaną między jednostkami samorządu terytorialnego na dofinansowanie własnych zadań inwestycyjnych i zakupów inwestycyjnych</t>
  </si>
  <si>
    <t>Drogi wewnetrzne</t>
  </si>
  <si>
    <t>Wydatki na zakup i objęcie akcji i udziałów</t>
  </si>
  <si>
    <t>Dotacja celowa przekazana do samorządu województwa na zadania bieżące realizowane na podstawie porozumień (umów) między jednostkami samorządu terytorialnego</t>
  </si>
  <si>
    <t>Składki do organizacji międzynarodowych</t>
  </si>
  <si>
    <t>Pozostałe podatki na rzecz budżetów jednostek samorządu terytorialnego</t>
  </si>
  <si>
    <t>Podatek od towarów i usług (VAT).</t>
  </si>
  <si>
    <t>Wydatki osobowe niezaliczone do wynagrodzeń</t>
  </si>
  <si>
    <t>Wpłaty na Państwowy Fundusz Rehabilitacji Osób Niepełnosprawnych</t>
  </si>
  <si>
    <t>Zakup usług zdrowotnych</t>
  </si>
  <si>
    <t>Odpisy na zakładowy fundusz świadczeń socjalnych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</si>
  <si>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</si>
  <si>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 xml:space="preserve">Różne wydatki na rzecz osób fizycznych </t>
  </si>
  <si>
    <t>Zakup usług remontowo-konserwatorskich dotyczących obiektów zabytkowych będących w użytkowaniu jednostek budżetowych</t>
  </si>
  <si>
    <t>Nagrody o charakterze szczególnym niezaliczone do wynagrodzeń</t>
  </si>
  <si>
    <t>Dotacja celowa w ramach programów finansowych z udziałem środków europejskich oraz środków, o których mowa w art. 5 ust. 3 pkt 5 lit. a i b ustawy, lub płatności w ramach budżetu środków europejskich, realizowanych przez jednostki samorzadu terytorialnego</t>
  </si>
  <si>
    <t>Obsługa papierów wartościowych, kredytów i pożyczek oraz innych zobowiązań jednostek samorządu terytorialnego zaliczanych do tytułu dłużnego " kredyty i pożyczki</t>
  </si>
  <si>
    <t>Odsetki od samorządowych papierów wartościowych lub zaciągniętych przez jednostkę samorządu terytorialnego kredytów i pożyczek</t>
  </si>
  <si>
    <t>Wypłaty z tytułu zagranicznych poręczeń i gwarancji</t>
  </si>
  <si>
    <t>Wypłaty z tytułu krajowych poręczeń i gwarancji</t>
  </si>
  <si>
    <t>Rezerwy</t>
  </si>
  <si>
    <t>Rezerwy na inwestycje i zakupy inwestycyjne</t>
  </si>
  <si>
    <t>Zakup środków dydaktycznych i książek</t>
  </si>
  <si>
    <t>Wynagrodzenia osobowe nauczycieli</t>
  </si>
  <si>
    <t>Dodatkowe wynagrodzenie roczne nauczycieli</t>
  </si>
  <si>
    <t xml:space="preserve">Przedszkola 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</si>
  <si>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</si>
  <si>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Dotacja celowa przekazana z budżetu jednostki samorządu terytorialnego na dofinansowanie realizacji zadań w zakresie programów polityki zdrowotnej</t>
  </si>
  <si>
    <t>Dotacja celowa dla jednostki spoza sektora finansów publicznych na finansowanie lub dofinansowanie zadań bieżących związanych z pomocą obywatelom Ukrainy</t>
  </si>
  <si>
    <t>Zakup towarów (w szczególności materiałów, leków, żywności) w związku z pomocą obywatelom Ukrainy</t>
  </si>
  <si>
    <t>Zakup usług związanych z pomocą obywatelom Ukrainy</t>
  </si>
  <si>
    <t>Pozostałe wydatki bieżące na zadania związane z pomocą obywatelom Ukrainy</t>
  </si>
  <si>
    <t>Dotacja celowa z budżetu na finansowanie lub dofinansowanie zadań zleconych do realizacji stowarzyszeniom</t>
  </si>
  <si>
    <t>Stypendia różne</t>
  </si>
  <si>
    <t>Wynagrodzenia i uposażenia wypłacane w związku z pomocą obywatelom Ukrainy</t>
  </si>
  <si>
    <t>Honoraria, wynagrodzenia agencyjno-prowizyjne i wynagrodzenia bezosobowe wypłacane w związku z pomocą obywatelom Ukrainy</t>
  </si>
  <si>
    <t>Składki i inne pochodne od wynagrodzeń pracowników wypłacanych w związku z pomocą obywatelom Ukrainy</t>
  </si>
  <si>
    <t>Stypendia dla uczniów</t>
  </si>
  <si>
    <t>Dotacja podmiotowa z budżetu dla samorządowej instytucji kultury</t>
  </si>
  <si>
    <t>Dotacja celowa z budżetu na finansowanie lub dofinansowanie prac remontowych i konserwatorskich obiektów zabytkowych przekazane jednostkom niezaliczanym do sektora finansów publicznych</t>
  </si>
  <si>
    <t>Dotacja celowa z budżetu na finansowanie lub dofinansowanie prac remontowych i konserwatorskich obiektów zabytkowych przekazane jednostkom zaliczanym do sektora finansów publicznych</t>
  </si>
  <si>
    <t>Załącznik nr 5 do Uchwały budżetowej</t>
  </si>
  <si>
    <t xml:space="preserve">Wynik budżetowy i finansowy </t>
  </si>
  <si>
    <t>Lp.</t>
  </si>
  <si>
    <t>Plan na 2024 r.</t>
  </si>
  <si>
    <t>1.1</t>
  </si>
  <si>
    <t>dochody bieżące</t>
  </si>
  <si>
    <t>1.2</t>
  </si>
  <si>
    <t>dochody majątkowe</t>
  </si>
  <si>
    <t>Przychody</t>
  </si>
  <si>
    <t>2.1</t>
  </si>
  <si>
    <t>Niewykorzystane środki pieniężne, o których mowa w art. 217 ust. 2 pkt 8 ustawy o finansach publicznych</t>
  </si>
  <si>
    <t>2.1.1</t>
  </si>
  <si>
    <t>wynikające z rozliczenia dochodów i wydatków nimi finansowanych związanych ze szczególnymi zasadami wykonywania budżetu określonymi w odrębnych ustawach</t>
  </si>
  <si>
    <t>2.1.2</t>
  </si>
  <si>
    <t>wynikające z rozliczenia środków określonych w art.5 ust. 1 pkt 2 ustawy i dotacji na realizację programu, projektu lub zadania finansowanego z udziałem tych środków</t>
  </si>
  <si>
    <t>2.2.</t>
  </si>
  <si>
    <t>Kredyt krajowy</t>
  </si>
  <si>
    <t>2.2.1</t>
  </si>
  <si>
    <t>Kredyt na spłatę zaciągniętych kredytów</t>
  </si>
  <si>
    <t>2.2.2</t>
  </si>
  <si>
    <t>Kredyt na sfinansowanie planowanego deficytu budżetowego</t>
  </si>
  <si>
    <t>2.3</t>
  </si>
  <si>
    <t>Wolne środki, o których mowa w art. 217 ust. 2 pkt 6 ustawy o finansach publicznych</t>
  </si>
  <si>
    <t>2.3.1</t>
  </si>
  <si>
    <t>Wolne środki na spłatę zaciągniętych kredytów</t>
  </si>
  <si>
    <t>2.3.2</t>
  </si>
  <si>
    <t>Wolne środki na sfinansowanie planowanego deficytu budżetowego</t>
  </si>
  <si>
    <t>OGÓŁEM   (w.1 + w.2)</t>
  </si>
  <si>
    <t>4.1</t>
  </si>
  <si>
    <t>wydatki bieżące, w tym:</t>
  </si>
  <si>
    <t>4.1.1</t>
  </si>
  <si>
    <t>wydatki bieżące (bez obsługi długu, gwarancji i poręczeń)</t>
  </si>
  <si>
    <t>4.1.2</t>
  </si>
  <si>
    <t>wydatki na obsługę długu, gwarancje i poręczenia</t>
  </si>
  <si>
    <t>4.2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</si>
  <si>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</si>
  <si>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</si>
  <si>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</si>
  <si>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</si>
  <si>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</si>
  <si>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</si>
  <si>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</si>
  <si>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</si>
  <si>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</si>
  <si>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9.1.1</t>
  </si>
  <si>
    <t>9.1.2</t>
  </si>
  <si>
    <t>wynikające z rozliczenia środków określonych w art. 5 ust. 1 pkt 2 ustawy i dotacji na realizację programu, projektu lub zadania finansowanego z udziałem tych środków</t>
  </si>
  <si>
    <t>9.2</t>
  </si>
  <si>
    <t>Kredyty bankowe</t>
  </si>
  <si>
    <t>9.3</t>
  </si>
  <si>
    <t>Wolne środki z lat ubiegłych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</si>
  <si>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</si>
  <si>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</si>
  <si>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</si>
  <si>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</si>
  <si>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</si>
  <si>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</si>
  <si>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środki+niewykorzystane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</si>
  <si>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</si>
  <si>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</si>
  <si>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</si>
  <si>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</si>
  <si>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</si>
  <si>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</si>
  <si>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 xml:space="preserve"> - udzielone pożyczki</t>
  </si>
  <si>
    <t xml:space="preserve"> + spłacone pożyczki</t>
  </si>
  <si>
    <t>Wynik finansowy budżetu</t>
  </si>
  <si>
    <t xml:space="preserve">Uchwała Nr   /      /23  Sejmiku </t>
  </si>
  <si>
    <t>Województwa z dnia    .12.2023 r.</t>
  </si>
  <si>
    <t xml:space="preserve">Projekty i działania realizowane w ramach Regionalnego Programu Operacyjnego Województwa Kujawsko-Pomorskiego 2014-2020 
Plan na 2024 rok </t>
  </si>
  <si>
    <t>Działanie</t>
  </si>
  <si>
    <t>Kategoria interwencji</t>
  </si>
  <si>
    <t>Nazwa Projektu/Działania</t>
  </si>
  <si>
    <t>Realizator/
instytucja wdrażająca</t>
  </si>
  <si>
    <t>Klasyfikacja budżetowa
Dział
Rozdział</t>
  </si>
  <si>
    <t>Wydatki całkowite
na lata 2014-2023 w tym:</t>
  </si>
  <si>
    <t>Przewidywane wykonanie do końca 2023 r.</t>
  </si>
  <si>
    <t>Wydatki 2024</t>
  </si>
  <si>
    <t>UE</t>
  </si>
  <si>
    <t>Wydatki
ogółem</t>
  </si>
  <si>
    <t>Unia Europejska</t>
  </si>
  <si>
    <t xml:space="preserve">Ogółem </t>
  </si>
  <si>
    <t>Wkład krajowy</t>
  </si>
  <si>
    <t>BP</t>
  </si>
  <si>
    <t>Budżet państwa</t>
  </si>
  <si>
    <t>Budżet Województwa</t>
  </si>
  <si>
    <t xml:space="preserve">Inne </t>
  </si>
  <si>
    <t>Środki własne</t>
  </si>
  <si>
    <t xml:space="preserve">Bieżące </t>
  </si>
  <si>
    <t>Inwestycyjne</t>
  </si>
  <si>
    <t>Bieżące</t>
  </si>
  <si>
    <t>8a</t>
  </si>
  <si>
    <t>9=10+13</t>
  </si>
  <si>
    <t>10=11+12</t>
  </si>
  <si>
    <t>13=14+17+20</t>
  </si>
  <si>
    <t>14=15+16</t>
  </si>
  <si>
    <t>17=18+19</t>
  </si>
  <si>
    <t>20=21+22</t>
  </si>
  <si>
    <t xml:space="preserve">Działania i projekty realizowane przez beneficjentów zewnętrznych, którym samorząd województwa przekazuje dotacje na współfinansowanie krajowe </t>
  </si>
  <si>
    <t>6.1.1</t>
  </si>
  <si>
    <t>053</t>
  </si>
  <si>
    <t>Inwestycje w infrastrukturę zdrowotną</t>
  </si>
  <si>
    <t xml:space="preserve">Urząd Marszałkowski w Toruniu </t>
  </si>
  <si>
    <t>851
85111</t>
  </si>
  <si>
    <t>X</t>
  </si>
  <si>
    <t>9.3.2</t>
  </si>
  <si>
    <t>112</t>
  </si>
  <si>
    <t>Rozwój usług społecznych</t>
  </si>
  <si>
    <t>852            85295</t>
  </si>
  <si>
    <t>Działania i projekty realizowane przez beneficjentów zewnętrznych, którym samorząd województwa przekazuje dotacje na współfinansowanie krajowe</t>
  </si>
  <si>
    <t>Załącznik nr 6 do Uchwały budżetowej</t>
  </si>
  <si>
    <t xml:space="preserve">Uchwała Nr   /        /23 Sejmiku </t>
  </si>
  <si>
    <t xml:space="preserve">Projekty i działania realizowane w ramach Programu Fundusze Europejskie dla Kujaw i Pomorza 2021-2027 
Plan na 2024 rok </t>
  </si>
  <si>
    <t xml:space="preserve">Priorytet/
Działanie
</t>
  </si>
  <si>
    <t>Nazwa Projektu</t>
  </si>
  <si>
    <t>Wydatki całkowite
 w tym:</t>
  </si>
  <si>
    <t>Przewidywane wykonanie do końca 2023 r. w tym:</t>
  </si>
  <si>
    <t>Krajowy wkład publiczny</t>
  </si>
  <si>
    <t>Inne publiczne</t>
  </si>
  <si>
    <t>Wydatki realizowane i nadzorowane przez wojewódzkie jednostki organizacyjne</t>
  </si>
  <si>
    <t>01.02</t>
  </si>
  <si>
    <t>Infostrada Kujaw i Pomorza 3.0</t>
  </si>
  <si>
    <t>720
72095</t>
  </si>
  <si>
    <t>2023 - 2027</t>
  </si>
  <si>
    <t>Kujawsko-Pomorskie e-Zdrowie 3.0</t>
  </si>
  <si>
    <t>Kultura w zasięgu 3.0</t>
  </si>
  <si>
    <t>04.03</t>
  </si>
  <si>
    <t>Przebudowa wraz z rozbudową drogi wojewódzkiej Nr 254 Brzoza - Łabiszyn - Barcin - Mogilno - Wylatowo (odcinek Brzoza - Barcin). Odcinek I od km 0+069 do km 13+280</t>
  </si>
  <si>
    <t>Zarząd Dróg Wojewódzkich 
w Bydgoszczy</t>
  </si>
  <si>
    <t>600
60013</t>
  </si>
  <si>
    <t>2023 - 2024</t>
  </si>
  <si>
    <t>Przebudowa wraz z rozbudową drogi wojewódzkiej Nr 254 Brzoza - Łabiszyn - Barcin - Mogilno - Wylatowo (odcinek Brzoza - Barcin). Odcinek II od km 13+280 do km 22+400</t>
  </si>
  <si>
    <t>Rozbudowa drogi wojewódzkiej Nr 270 Brześć Kujawski - Izbica Kujawska - Koło od km 0+000 do km 29+023 - Budowa obwodnicy m. Lubraniec</t>
  </si>
  <si>
    <t>Przebudowa wraz z rozbudową drogi wojewódzkiej Nr 270 Brześć Kujawski - Izbica Kujawska - Koło od km 0+000 do km 29+023. Etap I od km 1+100 do km 7+762</t>
  </si>
  <si>
    <t>Budowa II etapu obwodnicy Mogilna</t>
  </si>
  <si>
    <t>2023 - 2025</t>
  </si>
  <si>
    <t>06.08</t>
  </si>
  <si>
    <t>Przebudowa budynków oraz remont przy ul. M. Skłodowskiej-Curie 27/29 w Toruniu na potrzeby powstania Regionalnego Centrum Wsparcia  i Opieki dla osób z niepełnosprawnością</t>
  </si>
  <si>
    <t>852
85295</t>
  </si>
  <si>
    <t>2022 - 2024</t>
  </si>
  <si>
    <t>08.08</t>
  </si>
  <si>
    <t>Opracowanie programów profilaktycznych dot. chorób związanych z miejscem pracy oraz programów rehabilitacji medycznej</t>
  </si>
  <si>
    <t>851
85149</t>
  </si>
  <si>
    <t>Zdrowo Zakręceni</t>
  </si>
  <si>
    <t>851
85195</t>
  </si>
  <si>
    <t>2024 - 2025</t>
  </si>
  <si>
    <t>08.18</t>
  </si>
  <si>
    <t>Zawodowe Talenty Kujaw i Pomorza</t>
  </si>
  <si>
    <t>854
85416</t>
  </si>
  <si>
    <t>2023 - 2026</t>
  </si>
  <si>
    <t>Prymus Pomorza i Kujaw II</t>
  </si>
  <si>
    <t>08.19</t>
  </si>
  <si>
    <t>Kierunek - Rozwój</t>
  </si>
  <si>
    <t>Wojewódzki Urząd Pracy 
w Toruniu</t>
  </si>
  <si>
    <t>150
15013</t>
  </si>
  <si>
    <t>08.23</t>
  </si>
  <si>
    <t>Kierunek - Integracja</t>
  </si>
  <si>
    <t>853
85395</t>
  </si>
  <si>
    <t>08.24</t>
  </si>
  <si>
    <t>Opracowanie programów profilaktycznych zapobiegających chorobom stanowiącym poważny problem w regionie</t>
  </si>
  <si>
    <t>08.25</t>
  </si>
  <si>
    <t>Wykluczenie - nie ma MOWy! 2 - etap I</t>
  </si>
  <si>
    <t>Wydatki realizowane w ramach pomocy technicznej</t>
  </si>
  <si>
    <t>10.01</t>
  </si>
  <si>
    <t>Wsparcie procesu zarządzania i wdrażania FEdKP</t>
  </si>
  <si>
    <t>750
75018</t>
  </si>
  <si>
    <t>Wsparcie procesu zarządzania i wdrażania FEdKP (ZIT Bydgoszcz)</t>
  </si>
  <si>
    <t>750
75095</t>
  </si>
  <si>
    <t>853
85332</t>
  </si>
  <si>
    <t>10.02</t>
  </si>
  <si>
    <t>Skuteczna informacja i komunikacja FEdKP</t>
  </si>
  <si>
    <t>Skuteczna informacja i komunikacja FEdKP (ZIT Bydgoszcz)</t>
  </si>
  <si>
    <t xml:space="preserve">Wydatki realizowane w ramach pomocy technicznej </t>
  </si>
  <si>
    <t>Priorytet 05</t>
  </si>
  <si>
    <t>Fundusze europejskie na wzmacnianie potencjałów endogenicznych regionu</t>
  </si>
  <si>
    <t>900
90095</t>
  </si>
  <si>
    <t>Priorytet 06</t>
  </si>
  <si>
    <t>Fundusze europejskie na rzecz zwiększenia dostępności regionalnej infrastruktury dla mieszkańców</t>
  </si>
  <si>
    <t>801.80104
801.80195
852.85295</t>
  </si>
  <si>
    <t>Priorytet 08</t>
  </si>
  <si>
    <t>Fundusze europejskie na wsparcie w obszarze rynku pracy, edukacji i włączenia społecznego</t>
  </si>
  <si>
    <t>801.80104
801.80195
851.85195
852.85203
852.85295</t>
  </si>
  <si>
    <t>853.85395</t>
  </si>
  <si>
    <t>Załącznik nr 7 do Uchwały budżetowej</t>
  </si>
  <si>
    <t xml:space="preserve">Uchwała Nr    /     /23 Sejmiku </t>
  </si>
  <si>
    <t>Pozostałe projekty i działania realizowane ze środków zagranicznych 
Plan na 2024 rok</t>
  </si>
  <si>
    <t xml:space="preserve">Program/ Działanie </t>
  </si>
  <si>
    <t xml:space="preserve">Wydatki realizowane przez wojewódzkie jednostki organizacyjne </t>
  </si>
  <si>
    <t>PT FE
Działanie 2.01</t>
  </si>
  <si>
    <t>Punkty Informacyjne Funduszy Europejskich WK-P</t>
  </si>
  <si>
    <t>FERS
Działanie 4.13</t>
  </si>
  <si>
    <t>Koordynacja spójnej polityki społecznej Kujaw i Pomorza</t>
  </si>
  <si>
    <t>ROPS
w Toruniu</t>
  </si>
  <si>
    <t>2023 - 2028</t>
  </si>
  <si>
    <t xml:space="preserve">PROW
Pomoc Techniczna </t>
  </si>
  <si>
    <t>Schemat I - Wzmocnienie systemu wdrażania Programu</t>
  </si>
  <si>
    <t>010
01041</t>
  </si>
  <si>
    <t>2015 - 2025</t>
  </si>
  <si>
    <t>Schemat II - Wsparcie funkcjonowania krajowej sieci obszarów wiejskich oraz realizacja działań informacyjno-promocyjnych PROW 2014-2020 (działania informacyjno-promocyjne)</t>
  </si>
  <si>
    <t>2015 - 2024</t>
  </si>
  <si>
    <t>Schemat II - Wsparcie funkcjonowania krajowej sieci obszarów wiejskich oraz realizacja działań informacyjno-promocyjnych PROW 2014-2020  (krajowa sieć obszarów wiejskich)</t>
  </si>
  <si>
    <t>FER 
Pomoc Techniczna</t>
  </si>
  <si>
    <t>Pomoc Techniczna Programu Fundusze Europejskie dla Rybactwa na lata 2021-2027</t>
  </si>
  <si>
    <t>050
05011</t>
  </si>
  <si>
    <t>2024 - 2026</t>
  </si>
  <si>
    <t>INTERREG 
(Europa)</t>
  </si>
  <si>
    <t>CARES</t>
  </si>
  <si>
    <t>Urząd Marszałkowski w Toruniu/
ROPS w Toruniu</t>
  </si>
  <si>
    <t>INTERREG 
(Europa Środkowa)</t>
  </si>
  <si>
    <t>TeBiCE</t>
  </si>
  <si>
    <t xml:space="preserve">Uchwała Nr    /       /23 Sejmiku </t>
  </si>
  <si>
    <t>Załącznik nr 8 do Uchwały budżetowej</t>
  </si>
  <si>
    <t xml:space="preserve">Uchwała Nr    /    /23 Sejmiku </t>
  </si>
  <si>
    <t>Województwa z dnia     .12.2023 r.</t>
  </si>
  <si>
    <t>Załącznik nr 10 do Uchwały budżetowej</t>
  </si>
  <si>
    <t xml:space="preserve">                                                                                                                             </t>
  </si>
  <si>
    <t>Uchwała Nr      /      /23 Sejmiku Województwa</t>
  </si>
  <si>
    <t xml:space="preserve">z dnia    .12.2023 r.         </t>
  </si>
  <si>
    <t xml:space="preserve"> Dotacje udzielane z budżetu Województwa Kujawsko - Pomorskiego </t>
  </si>
  <si>
    <t xml:space="preserve">Dział </t>
  </si>
  <si>
    <t>Rozdział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</si>
  <si>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</si>
  <si>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</si>
  <si>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</si>
  <si>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</si>
  <si>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Priorytet/
Działanie</t>
  </si>
  <si>
    <t>inwestycje</t>
  </si>
  <si>
    <t>bieżące</t>
  </si>
  <si>
    <t xml:space="preserve"> I DOTACJE PRZEDMIOTOWE</t>
  </si>
  <si>
    <t>Dotowanie kolejowych przewozów pasażerskich 2022-2030 - Zadanie I (Pakiet A)</t>
  </si>
  <si>
    <t>Dotowanie kolejowych przewozów pasażerskich 2022-2030 - Zadanie II (Pakiet B1+B2)</t>
  </si>
  <si>
    <t>Dotowanie kolejowych przewozów pasażerskich 2022-2030 - Zadanie III (Pakiet C+D+H)</t>
  </si>
  <si>
    <t>Dotowanie kolejowych przewozów pasażerskich 2022-2030 - Zadanie IV (Pakiet E+F+G)</t>
  </si>
  <si>
    <t>Dotowanie kolejowych przewozów pasażerskich 2022-2030 - Dostęp do infrastruktury i opłaty dworcowe</t>
  </si>
  <si>
    <t xml:space="preserve"> II DOTACJE PODMIOTOWE</t>
  </si>
  <si>
    <t>Dotacje dla instytucji kultury</t>
  </si>
  <si>
    <t>Teatr im. W. Horzycy w Toruniu - działalność statutowa</t>
  </si>
  <si>
    <t>Opera Nova w Bydgoszczy - działalność statutowa</t>
  </si>
  <si>
    <t>Kujawsko-Pomorski Teatr Muzyczny w Toruniu - działalność statutowa</t>
  </si>
  <si>
    <t>Filharmonia Pomorska w Bydgoszczy - działalność statutowa</t>
  </si>
  <si>
    <t>Wojewódzki Ośrodek Animacji Kultury w Toruniu - działalność statutowa</t>
  </si>
  <si>
    <t>Kujawsko-Pomorskie Centrum Kultury w Bydgoszczy - działalność statutowa</t>
  </si>
  <si>
    <t>Kujawsko-Pomorskie Centrum Dziedzictwa w Toruniu - działalność statutowa</t>
  </si>
  <si>
    <t>Kujawsko-Pomorskie Centrum Edukacji i Innowacji w Toruniu - działalność statutowa</t>
  </si>
  <si>
    <t>Ośrodek Chopinowski w Szafarni - działalność statutowa, w tym finansowana:</t>
  </si>
  <si>
    <t xml:space="preserve"> - ze środków własnych Województwa</t>
  </si>
  <si>
    <t xml:space="preserve"> - ze środków Gminy Radomin</t>
  </si>
  <si>
    <t>Pałac Lubostroń w Lubostroniu - działalność statutowa</t>
  </si>
  <si>
    <t>Galeria Sztuki "Wozownia" w Toruniu - działalność statutowa</t>
  </si>
  <si>
    <t>Galeria i Ośrodek Plastycznej Twórczości Dziecka w Torunia - działalność statutowa</t>
  </si>
  <si>
    <t>92113</t>
  </si>
  <si>
    <t>Centrum Sztuki Współczesnej "Znaki Czasu" - działalność statutowa</t>
  </si>
  <si>
    <t>Wojewódzka i Miejska Biblioteka Publiczna w Bydgoszczy - działalność statutowa, w tym finansowana:</t>
  </si>
  <si>
    <t xml:space="preserve"> - ze środków Miasta Bydgoszczy</t>
  </si>
  <si>
    <t>Wojewódzka Biblioteka Publiczna - Książnica Kopernikańska w Toruniu - działalność statutowa, w tym finansowana:</t>
  </si>
  <si>
    <t xml:space="preserve"> - ze środków Miasta Torunia</t>
  </si>
  <si>
    <t>Muzeum Etnograficzne w Toruniu - działalność statutowa</t>
  </si>
  <si>
    <t>Muzeum Ziemi Kujawskiej i Dobrzyńskiej we Włocławku - działalność statutowa</t>
  </si>
  <si>
    <t>Muzeum Archeologiczne w Biskupinie - działalność statutowa</t>
  </si>
  <si>
    <t xml:space="preserve"> III DOTACJE CELOWE</t>
  </si>
  <si>
    <t xml:space="preserve"> Na zadania realizowane w ramach Regionalnego Programu Operacyjnego WK-P 2014-2020</t>
  </si>
  <si>
    <t>85295</t>
  </si>
  <si>
    <t xml:space="preserve"> Na zadania realizowane w ramach Programu Fundusze Europejskie dla Kujaw i Pomorza 2021-2027</t>
  </si>
  <si>
    <t>1.02</t>
  </si>
  <si>
    <t>10.1</t>
  </si>
  <si>
    <t>Działanie FEKP.10.01 Wsparcie procesu zarządzania i wdrażania FEDKP</t>
  </si>
  <si>
    <t>10.2</t>
  </si>
  <si>
    <t>Działanie FEKP.10.02 Skuteczna informacja i komunikacja FEDKP</t>
  </si>
  <si>
    <t>80104</t>
  </si>
  <si>
    <t>06</t>
  </si>
  <si>
    <t>Priorytet FEKP.06 Fundusze europejskie na rzecz zwiększenia dostępności regionalnej infrastruktury dla mieszkańców</t>
  </si>
  <si>
    <t>08</t>
  </si>
  <si>
    <t>Priorytet FEKP.08 Fundusze europejskie na wsparcie w obszarze rynku pracy, edukacji i włączenia społecznego</t>
  </si>
  <si>
    <t>85203</t>
  </si>
  <si>
    <t>8.25</t>
  </si>
  <si>
    <t>Wykluczenie - nie ma MOWy!2 - etap I</t>
  </si>
  <si>
    <t>85395</t>
  </si>
  <si>
    <t>05</t>
  </si>
  <si>
    <t>Priorytet FEKP.05 Fundusze europejskie na wzmacnianie potencjałów endogenicznych regionu</t>
  </si>
  <si>
    <t>Na pozostałe zadania</t>
  </si>
  <si>
    <r>
      <t xml:space="preserve">Spółki wodne - </t>
    </r>
    <r>
      <rPr>
        <b/>
        <i/>
        <sz val="10"/>
        <color indexed="8"/>
        <rFont val="Calibri"/>
        <family val="2"/>
        <charset val="238"/>
        <scheme val="minor"/>
      </rPr>
      <t>pomoc finansowa dla gmin</t>
    </r>
  </si>
  <si>
    <t>Organizacja dożynek</t>
  </si>
  <si>
    <r>
      <t xml:space="preserve">Poprawa kondycji i warunków sanitarnych rodzin pszczelich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</si>
  <si>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</si>
  <si>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</si>
  <si>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</si>
  <si>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r>
      <t xml:space="preserve">Przebudowa dróg powiatowych w powiecie wąbrzeskim o długości 23,000 km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</si>
  <si>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t xml:space="preserve">Przebudowa dróg powiatowych w powiecie chełmińskim o długości 10,600 km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</si>
  <si>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t xml:space="preserve">Opracowanie dokumentacji Studium Techniczno-Ekonomiczno-Środowiskowego dla połączenia Miasta Bydgoszczy z węzłem drogowym na trasie szybkiego ruchu S5 i S10 w miejscowości Białe Błota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</si>
  <si>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Budowa parkingu przy Operze Nova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</si>
  <si>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t>Rewitalizacja międzynarodowych dróg wodnych (E40 i E70) na terenie województwa kujawsko-pomorskiego</t>
  </si>
  <si>
    <r>
      <t xml:space="preserve">Zadania w zakresie turystyki i krajoznawstwa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</si>
  <si>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Laboratorium myśli św. Jana Pawła II</t>
  </si>
  <si>
    <t>Centrum Badania Historii "Solidarności" i Oporu Społecznego w PRL</t>
  </si>
  <si>
    <r>
      <t xml:space="preserve">Działalność na rzecz organizacji pozarządowych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</si>
  <si>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Przebudowa i nadbudowa budynku B Wojewódzkiego Szpitala Obesrwacyjno-Zakaźnego przy ul. Floriana 12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Wojewódzki Szpital Obserwacyjno-Zakaźny im. T. Browicza  w Bydgoszczy</t>
    </r>
  </si>
  <si>
    <r>
      <t xml:space="preserve">Budowa instalacji fotowoltaicznej na dachach obiektów Centrum Onkologii w Bydgoszczy
</t>
    </r>
    <r>
      <rPr>
        <i/>
        <sz val="10"/>
        <color indexed="8"/>
        <rFont val="Calibri"/>
        <family val="2"/>
        <charset val="238"/>
        <scheme val="minor"/>
      </rPr>
      <t>Centrum Onkologii w Bydgoszczy</t>
    </r>
  </si>
  <si>
    <r>
      <t xml:space="preserve">Dostosowanie Oddziału Hematologii do transplantologii szpiku kostnego
</t>
    </r>
    <r>
      <rPr>
        <i/>
        <sz val="10"/>
        <color indexed="8"/>
        <rFont val="Calibri"/>
        <family val="2"/>
        <charset val="238"/>
        <scheme val="minor"/>
      </rPr>
      <t>Wojewódzki Szpital Zespolony im. Ludwika Rydygiera w Toruniu</t>
    </r>
  </si>
  <si>
    <t>85149</t>
  </si>
  <si>
    <t>Województwo Promujące Zdrowie</t>
  </si>
  <si>
    <t>Program polityki zdrowotnej z zakresu wsparcia leczenia niepłodności metodą zapłodnienia pozaustrojowego dla mieszkańców województwa kujawsko-pomorskiego</t>
  </si>
  <si>
    <t>85153</t>
  </si>
  <si>
    <r>
      <t xml:space="preserve">Przeciwdziałanie narkomanii w województwie kujawsko-pomorskim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</si>
  <si>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>Aktywizacja środowisk wiejskich w zakresie rozwiązywania problemów alkoholowych i narkomanii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</si>
  <si>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 xml:space="preserve">Rozwiązywanie problemów alkoholowych w województwie kujawsko-pomorskim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</si>
  <si>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Podniesienie funkcjonalności WOTUiW w Toruniu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</si>
  <si>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 xml:space="preserve">Remont pokrycia dachowego w budynku górnym OOC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</si>
  <si>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 xml:space="preserve">Rozbudowa WOTUiW w Toruniu - dokumentacja techniczna OOC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</si>
  <si>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 xml:space="preserve">Ochrona i promocja zdrowia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</si>
  <si>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85205</t>
  </si>
  <si>
    <t xml:space="preserve">Wojewódzki program przeciwdziałania przemocy w rodzinie dla województwa kujawsko-pomorskiego do roku 2026 </t>
  </si>
  <si>
    <r>
      <t xml:space="preserve">Przeciwdziałanie przemocy domowej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</si>
  <si>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85231</t>
  </si>
  <si>
    <t>Pomoc obywatelom Ukrainy</t>
  </si>
  <si>
    <t>85311</t>
  </si>
  <si>
    <t xml:space="preserve">Dofinansowanie kosztów działalności Zakładów Aktywności Zawodowej </t>
  </si>
  <si>
    <r>
      <t xml:space="preserve">Budowanie niezależności i włączenia społecznego osób z niepełnosprawnościami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</si>
  <si>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85415</t>
  </si>
  <si>
    <t xml:space="preserve">Stypendia dla uczniów </t>
  </si>
  <si>
    <r>
      <t xml:space="preserve">Wspieranie działań z zakresu opieki adopcyjno-wychowawczej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</si>
  <si>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85595</t>
  </si>
  <si>
    <r>
      <t xml:space="preserve">Wspieranie aktywizacji i integracji społecznej seniorów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</si>
  <si>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Wsparcie działań z zakresu opieki nad osobami przewlekle chorymi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</si>
  <si>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Wspieranie rodzin w wypełnianiu funkcji rodzicielskich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</si>
  <si>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Wspieranie zajęć rozwojowych dla dzieci i młodzieży zagrożonych wykluczeniem społecznym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</si>
  <si>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Wspieranie prac wychowawczych z dziećmi i młodzieżą realizowanych przez organizacje młodzieżowe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</si>
  <si>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92105</t>
  </si>
  <si>
    <r>
      <rPr>
        <sz val="10"/>
        <color indexed="8"/>
        <rFont val="Calibri"/>
        <family val="2"/>
        <charset val="238"/>
        <scheme val="minor"/>
      </rPr>
      <t>Bydgoski Festiwal Operowy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</si>
  <si>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t xml:space="preserve">Bydgoski Festiwal Muzyczny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</si>
  <si>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Festiwal Książki Obrazkowej dla dzieci "LiterObrazki"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</si>
  <si>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rPr>
        <sz val="10"/>
        <color indexed="8"/>
        <rFont val="Calibri"/>
        <family val="2"/>
        <charset val="238"/>
        <scheme val="minor"/>
      </rPr>
      <t>Zakupy inwestycyjne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</si>
  <si>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t xml:space="preserve">Rozbudowa Opery Nova w Bydgoszczy o IV krąg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</si>
  <si>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Zadanie remontowe- Remont agregatu wody lodowej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</si>
  <si>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Modernizacja systemu oświetlenia Sceny na Zapleczu oraz zakup urządzeń oświetleniowych wraz z zakupem maszyny do mgły do Dużej Sceny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</si>
  <si>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Dostosowanie zabytkowego budynku Teatru im. Wilama Horzycy do wymagań ochrony przeciwpożarowej - wykonanie dokumentacji projektowej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</si>
  <si>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</si>
  <si>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Rozszerzenie funkcjonalności teatralno-koncertowej poprzez rozbudowę i doposażenie dawnego budynku kinoteatru Grunwald</t>
    </r>
    <r>
      <rPr>
        <b/>
        <i/>
        <sz val="10"/>
        <color indexed="8"/>
        <rFont val="Calibri"/>
        <family val="2"/>
        <charset val="238"/>
        <scheme val="minor"/>
      </rPr>
      <t xml:space="preserve"> (IW)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</si>
  <si>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Rozbudowa Filharmonii Pomorskiej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</si>
  <si>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Adaptacja pomieszczeń piwnicznych w budynku Kujawsko-Pomorskiego Centrum Kultury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Kultury w Bydgoszczy</t>
    </r>
  </si>
  <si>
    <r>
      <t xml:space="preserve">Przygotowanie dokumentacji projektowo-kosztorysowej modernizacji budynku przy ul. Czerwona Droga 8 w Toruniu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Dziedzictwa w Toruniu</t>
    </r>
  </si>
  <si>
    <r>
      <t xml:space="preserve">Młyn Energii - dostosowanie obiektu Młyna Górnego w Grudziądzu do funkcji kulturalno-edukacyjnych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Edukacji i Innowacji w Toruniu</t>
    </r>
  </si>
  <si>
    <r>
      <t xml:space="preserve">Przeprowadzenie badań geologicznych gruntu pod przyszły oddział Instytucji w Inowrocławiu
</t>
    </r>
    <r>
      <rPr>
        <i/>
        <sz val="10"/>
        <color indexed="8"/>
        <rFont val="Calibri"/>
        <family val="2"/>
        <charset val="238"/>
        <scheme val="minor"/>
      </rPr>
      <t>Kujawsko-Pomorskie Centrum Edukacji i Innowacji w Toruniu</t>
    </r>
  </si>
  <si>
    <r>
      <t xml:space="preserve">Zakupy inwestycyjne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</si>
  <si>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Stworzenie nowej strony internetowej Ośrodka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</si>
  <si>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Uporządkowanie gospodarki wodno-Ściekowej i energetycznej w zespole pałacowo-parkowym w Lubostroniu -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Pałac Lubostroń w Lubostroniu</t>
    </r>
  </si>
  <si>
    <t>Zakup wyposażenia
Pałac Lubostroń w Lubostroniu</t>
  </si>
  <si>
    <r>
      <t xml:space="preserve">Zakup nowego systemu oświetlenia i klimatyzacji do siedziby Galerii przy Rynku Nowomiejskim 17 w Toruniu
</t>
    </r>
    <r>
      <rPr>
        <i/>
        <sz val="10"/>
        <color indexed="8"/>
        <rFont val="Calibri"/>
        <family val="2"/>
        <charset val="238"/>
        <scheme val="minor"/>
      </rPr>
      <t>Galeria i Ośrodek Plastycznej Twórczości Dziecka w Toruniu</t>
    </r>
  </si>
  <si>
    <r>
      <t xml:space="preserve">Zakupy inwestycyjne
</t>
    </r>
    <r>
      <rPr>
        <i/>
        <sz val="10"/>
        <color indexed="8"/>
        <rFont val="Calibri"/>
        <family val="2"/>
        <charset val="238"/>
        <scheme val="minor"/>
      </rPr>
      <t>Galeria i Ośrodek Plastycznej Twórczości Dziecka w Toruniu</t>
    </r>
  </si>
  <si>
    <r>
      <t xml:space="preserve">Zakup systemu oświetlenia i klimatyzacji do budynku Galerii przy ul. Rabiańskiej 20 w Toruniu
</t>
    </r>
    <r>
      <rPr>
        <i/>
        <sz val="10"/>
        <color indexed="8"/>
        <rFont val="Calibri"/>
        <family val="2"/>
        <charset val="238"/>
        <scheme val="minor"/>
      </rPr>
      <t>Galeria Sztuki Wozownia w Toruniu</t>
    </r>
  </si>
  <si>
    <r>
      <t xml:space="preserve">Zakup wyposażenia
</t>
    </r>
    <r>
      <rPr>
        <i/>
        <sz val="10"/>
        <color indexed="8"/>
        <rFont val="Calibri"/>
        <family val="2"/>
        <charset val="238"/>
        <scheme val="minor"/>
      </rPr>
      <t>Galeria Sztuki Wozownia w Toruniu</t>
    </r>
  </si>
  <si>
    <r>
      <t xml:space="preserve">Zakup wyposażenia 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</si>
  <si>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Przygotowanie dokumentacji konserwatorskiej Biblioteki Bernardynów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</si>
  <si>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Rozbudowa i dostosowanie budynku Wojewódzkiej Biblioteki Publicznej - Książnicy Kopernikańskiej w Toruniu do nowych funkcji użytkowych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</si>
  <si>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Zakup wyposażenia 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</si>
  <si>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Zakupy inwestycyjne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</si>
  <si>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Zapewnienie dostępności osobom ze szczególnymi potrzebami w obiektach Książnicy Kopernikańskiej - Książnica dostępna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</si>
  <si>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Kwartalnik Artystyczny, Kujawy i Pomorze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</si>
  <si>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t>Dofinansowanie działalności bieżącej Muzeum Ziemi Pałuckiej w Żninie - wsparcie finansowe</t>
  </si>
  <si>
    <r>
      <t xml:space="preserve">Przebudowa budynków MZKiD we Włocławku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</si>
  <si>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Zadanie remontowe - Rekonstrukcja i konserwacja zabytkowej młocarni do ekspozycji w skansenie w Kłóbce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</si>
  <si>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Modernizacja budynku przy ul. Odrodzenia 4/6 w Toruniu - przygotowanie dokumentacji projektowej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</si>
  <si>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r>
      <t xml:space="preserve">Rozbudowa Muzeum Archeologicznego w Biskupinie - I etap dokumentacja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Archeologiczne w Biskupinie</t>
    </r>
  </si>
  <si>
    <r>
      <t>Zakupy inwestycyjne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Archeologiczne w Biskupinie</t>
    </r>
  </si>
  <si>
    <r>
      <t>Wykonanie przewiertu i przyłącza wodociągowego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Archeologiczne w Biskupinie</t>
    </r>
  </si>
  <si>
    <r>
      <t>Wykonanie instalacji sygnalizacji pożaru dla budynku administracji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Archeologiczne w Biskupinie</t>
    </r>
  </si>
  <si>
    <t>92120</t>
  </si>
  <si>
    <t>Ochrona i zachowanie materialnego dziedzictwa kulturowego regionu</t>
  </si>
  <si>
    <t>92195</t>
  </si>
  <si>
    <r>
      <t xml:space="preserve">Zadania w zakresie kultury, sztuki, ochrony dóbr kultury i dziedzictwa narodowego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</si>
  <si>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Upowszechnianie kultury</t>
  </si>
  <si>
    <t>Zadania w zakresie kultury - wkłady własne</t>
  </si>
  <si>
    <r>
      <t>"Park kulturowy Wietrzychowice" w Wietrzychowicach i Gaju - wsparcie działań gminy Izbica Kujawska -</t>
    </r>
    <r>
      <rPr>
        <b/>
        <i/>
        <sz val="10"/>
        <color indexed="8"/>
        <rFont val="Calibri"/>
        <family val="2"/>
        <charset val="238"/>
        <scheme val="minor"/>
      </rPr>
      <t xml:space="preserve"> pomoc finansowa</t>
    </r>
  </si>
  <si>
    <r>
      <t xml:space="preserve">Organizacja Międzynarodowego Festiwalu Teatralnego "KONTAKT"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</si>
  <si>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Bydgoski Festiwal Operowy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</si>
  <si>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Międzynarodowy Konkurs Pianistyczny im. Fryderyka Chopina dla Dzieci i Młodzieży w Szafarni 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</si>
  <si>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Zadania w zakresie upowszechniania kultury fizycznej i sportu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</si>
  <si>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Programy Sportu Powszechnego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</si>
  <si>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Szkolenie dzieci i młodzieży w klubach sportowych</t>
  </si>
  <si>
    <t>Stypendia sportowe</t>
  </si>
  <si>
    <t>Kujawy Pomorze Team</t>
  </si>
  <si>
    <r>
      <t xml:space="preserve">Mała architektura i budowa infrastruktury sportowej przy obiektach edukacyjnych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</si>
  <si>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Objaśnienia:</t>
  </si>
  <si>
    <t>IW - Inwestycje wieloletnie</t>
  </si>
  <si>
    <t>Załącznik nr 13 do Uchwały budżetowej</t>
  </si>
  <si>
    <t xml:space="preserve">Uchwała Nr    /   /23 Sejmiku </t>
  </si>
  <si>
    <t xml:space="preserve">Województwa z dnia    .12.2023 r.                              </t>
  </si>
  <si>
    <t>Dochody i wydatki na zadania wykonywane</t>
  </si>
  <si>
    <t>na mocy porozumień z organami administracji rządowej</t>
  </si>
  <si>
    <t xml:space="preserve">Dochody </t>
  </si>
  <si>
    <t>Wydatki ogółem</t>
  </si>
  <si>
    <t>Organ administracji rządowej</t>
  </si>
  <si>
    <t xml:space="preserve"> Rodzaj zadania</t>
  </si>
  <si>
    <t>Wojewoda Kujawsko-Pomorski</t>
  </si>
  <si>
    <t>Pomoc Techniczna PROW 2014-2020 - Schemat I - Wzmocnienie systemu wdrażania Programu</t>
  </si>
  <si>
    <t>Pomoc Techniczna PROW 2014-2020 - Schemat II - Wsparcie funkcjonowania krajowej sieci obszarów wiejskich oraz realizacja działań informacyjno-promocyjnych PROW 2014-2020 (działania informacyjno-promocyjne)</t>
  </si>
  <si>
    <t>Pomoc Techniczna PROW 2014-2020 - Schemat II - Wsparcie funkcjonowania krajowej sieci obszarów wiejskich oraz realizacja działań informacyjno-promocyjnych PROW 2014-2020 (krajowa sieć obszarów wiejskich)</t>
  </si>
  <si>
    <t>Minister Funduszy i Polityki Regionalnej</t>
  </si>
  <si>
    <t xml:space="preserve">Punkty Informacyjne Funduszy Europejskich Województwa Kujawsko-Pomorskiego </t>
  </si>
  <si>
    <t>Wspieranie doradztwa metodycznego</t>
  </si>
  <si>
    <t xml:space="preserve">                                                                                          </t>
  </si>
  <si>
    <t>Załącznik nr 14 do Uchwały budżetowej</t>
  </si>
  <si>
    <t xml:space="preserve">                                                                                            </t>
  </si>
  <si>
    <t xml:space="preserve">Uchwała Nr        /    /23 Sejmiku </t>
  </si>
  <si>
    <t xml:space="preserve">                                                                         </t>
  </si>
  <si>
    <t xml:space="preserve">Województwa z dnia    .12.2023 r.    </t>
  </si>
  <si>
    <t>Dochody i wydatki na zadania realizowane w drodze</t>
  </si>
  <si>
    <t>umów i porozumień między jednostkami samorządu terytorialnego</t>
  </si>
  <si>
    <t>Dochody od JST</t>
  </si>
  <si>
    <t>Jednostka Samorządu Terytorialnego</t>
  </si>
  <si>
    <t>Gmina Jeżewo</t>
  </si>
  <si>
    <t>Rozbudowa drogi wojewódzkiej Nr 272 od skrzyżowania z drogą wojewódzką Nr 239, drogą powiatową Nr 1046C do ul. Szkolnej w Laskowicach na odcinku ok. 990 mb</t>
  </si>
  <si>
    <t>Gmina Osielsko</t>
  </si>
  <si>
    <t>Powiat Rypiński
Gmina Miasta Rypin
Gmina Rypin</t>
  </si>
  <si>
    <t>Gmina Lubraniec</t>
  </si>
  <si>
    <t>Roboty dodatkowe i uzupełniające związane z realizacją inwestycji drogowych w ramach FEdKP</t>
  </si>
  <si>
    <t>Gminy
Powiaty</t>
  </si>
  <si>
    <r>
      <t xml:space="preserve">Dokształcanie uczniów
</t>
    </r>
    <r>
      <rPr>
        <i/>
        <sz val="10"/>
        <rFont val="Calibri"/>
        <family val="2"/>
        <charset val="238"/>
        <scheme val="minor"/>
      </rPr>
      <t>Kujawsko-Pomorskie Centrum Kształcenia Zawodowego w Bydgoszczy</t>
    </r>
  </si>
  <si>
    <t>Wojewódzki program przeciwdziałania przemocy w rodzinie dla województwa kujawsko-pomorskiego do roku 2026</t>
  </si>
  <si>
    <t>92105
92195</t>
  </si>
  <si>
    <t>Miasto Bydgoszcz</t>
  </si>
  <si>
    <t>Bydgoski Festiwal Operowy</t>
  </si>
  <si>
    <t>Bydgoski Festiwal Muzyczny</t>
  </si>
  <si>
    <t>92105
92116</t>
  </si>
  <si>
    <t>Festiwal Książki Obrazkowej dla Dzieci "LiterObrazki"</t>
  </si>
  <si>
    <t>Gmina Radomin</t>
  </si>
  <si>
    <t>Dofinansowanie działalności statutowej Ośrodka Chopinowskiego w Szafarni</t>
  </si>
  <si>
    <t>Dofinansowanie działalności statutowej Wojewódzkiej i Miejskiej Biblioteki Publicznej w Bydgoszczy</t>
  </si>
  <si>
    <t>Miasto Toruń</t>
  </si>
  <si>
    <t>Dofinansowanie działalności statutowej Wojewódzkiej Biblioteki Publicznej - Książnicy Kopernikańskiej w Toruniu</t>
  </si>
  <si>
    <t>Uchwała Nr     /       /23  Sejmiku Województwa</t>
  </si>
  <si>
    <t>z dnia     .12.2023 r.</t>
  </si>
  <si>
    <t>Załącznik nr 15 do Uchwały budżetowej</t>
  </si>
  <si>
    <t>uchwała Nr    /   /23 Sejmiku Województwa</t>
  </si>
  <si>
    <t xml:space="preserve">z dnia   .12.2023 r.           </t>
  </si>
  <si>
    <t>Dochody gromadzone na wydzielonych rachunkach oraz wydatki nimi finansowane</t>
  </si>
  <si>
    <t>Jednostka</t>
  </si>
  <si>
    <t>Stan środków pieniężnych na początek okresu</t>
  </si>
  <si>
    <t>Stan środków pieniężnych na koniec okresu</t>
  </si>
  <si>
    <t>1.</t>
  </si>
  <si>
    <t>2.</t>
  </si>
  <si>
    <t>3.</t>
  </si>
  <si>
    <t>4.</t>
  </si>
  <si>
    <t>5.</t>
  </si>
  <si>
    <t>6.</t>
  </si>
  <si>
    <t>7.</t>
  </si>
  <si>
    <t xml:space="preserve">Biblioteka Pedagogiczna im. gen. bryg. prof. Elżbiety Zawackiej w Toruniu </t>
  </si>
  <si>
    <t>Kujawsko-Pomorskie Centrum Edukacji Nauczycieli w Bydgoszczy</t>
  </si>
  <si>
    <t>Kujawsko-Pomorskie Centrum Edukacji Nauczycieli w Toruniu</t>
  </si>
  <si>
    <t>Kujawsko-Pomorskie Centrum Edukacji Nauczycieli we Włocławku</t>
  </si>
  <si>
    <t>Kujawsko-Pomorskie Centrum Kształcenia Zawodowego w Bydgoszczy</t>
  </si>
  <si>
    <t>Kujawsko-Pomorski Specjalny Ośrodek Szkolno-Wychowawczy im. Janusza Korczaka w Toruniu</t>
  </si>
  <si>
    <t>Kujawsko-Pomorski Specjalny Ośrodek Szkolno-Wychowawczy nr 1 dla Dzieci i Młodzieży Słabo Widzącej i Niewidomej im. Louisa Braille'a w Bydgoszczy</t>
  </si>
  <si>
    <t>8.</t>
  </si>
  <si>
    <t>Kujawsko-Pomorski Specjalny Ośrodek Szkolno-Wychowawczy nr 2 dla Dzieci Młodzieży Słabo Słyszącej i Niesłyszącej im. gen. Stanisława Maczka w Bydgoszczy</t>
  </si>
  <si>
    <t>9.</t>
  </si>
  <si>
    <t>Medyczno-Społeczne Centrum Kształcenia Zawodowego i Ustawicznego w Inowrocławiu</t>
  </si>
  <si>
    <t>10.</t>
  </si>
  <si>
    <t>Medyczno-Społeczne Centrum Kształcenia Zawodowego i Ustawicznego w Toruniu</t>
  </si>
  <si>
    <t>11.</t>
  </si>
  <si>
    <t>Pedagogiczna Biblioteka Wojewódzka im. Mariana Rejewskiego w Bydgoszczy</t>
  </si>
  <si>
    <t xml:space="preserve">                                                                                                                                                          Załącznik nr 11 do Uchwały budżetowej</t>
  </si>
  <si>
    <t>Załącznik nr 12 do uchwały budżetowej</t>
  </si>
  <si>
    <t>Środki otrzymane z Rządowego Funduszu Polski Ład: Program Inwestycji Strategicznych na
realizację zadań inwestycyjnych</t>
  </si>
  <si>
    <t>6370</t>
  </si>
  <si>
    <t>ustawa z dnia 31 marca 2020 r. o zmianie ustawy o szczególnych rozwiązaniach związanych z zapobieganiem, przeciwdziałaniem i zwalczaniem COVID-19, innych chorób zakaźnych oraz wywołanych nimi sytuacji kryzysowych oraz niektórych innych ustaw</t>
  </si>
  <si>
    <t>Środki z Rządowego Funduszu Polski Ład: Program Inwestycji Strategicznych</t>
  </si>
  <si>
    <t>Wydatki poniesione ze środków Rządowego Funduszu Polski Ład: Program Inwestycji
Strategicznych na realizację zadań inwestycyjnych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</si>
</sst>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PL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i/>
      <sz val="10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1"/>
      <name val="Times New Roman CE"/>
      <family val="1"/>
      <charset val="238"/>
    </font>
    <font>
      <b/>
      <i/>
      <sz val="11"/>
      <name val="Calibri"/>
      <family val="2"/>
      <charset val="238"/>
      <scheme val="minor"/>
    </font>
    <font>
      <b/>
      <i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u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36">
    <xf numFmtId="0" fontId="0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0" fillId="0" borderId="0"/>
    <xf numFmtId="0" fontId="17" fillId="0" borderId="0"/>
    <xf numFmtId="0" fontId="16" fillId="0" borderId="0"/>
    <xf numFmtId="0" fontId="16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7" fillId="0" borderId="0"/>
    <xf numFmtId="0" fontId="19" fillId="0" borderId="0"/>
    <xf numFmtId="9" fontId="16" fillId="0" borderId="0" applyFont="0" applyFill="0" applyBorder="0" applyAlignment="0" applyProtection="0"/>
    <xf numFmtId="0" fontId="18" fillId="0" borderId="0"/>
    <xf numFmtId="0" fontId="15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7" fillId="0" borderId="0"/>
    <xf numFmtId="0" fontId="70" fillId="0" borderId="0"/>
    <xf numFmtId="0" fontId="17" fillId="0" borderId="0"/>
    <xf numFmtId="0" fontId="70" fillId="0" borderId="0"/>
    <xf numFmtId="0" fontId="17" fillId="0" borderId="0"/>
  </cellStyleXfs>
  <cellXfs count="1120">
    <xf numFmtId="0" fontId="0" fillId="0" borderId="0" xfId="0"/>
    <xf numFmtId="0" fontId="14" fillId="0" borderId="0" xfId="20" applyFont="1" applyAlignment="1">
      <alignment horizontal="center" vertical="top"/>
    </xf>
    <xf numFmtId="3" fontId="22" fillId="0" borderId="0" xfId="17" applyNumberFormat="1" applyFont="1" applyAlignment="1">
      <alignment horizontal="right"/>
    </xf>
    <xf numFmtId="0" fontId="14" fillId="0" borderId="0" xfId="20" applyFont="1" applyAlignment="1">
      <alignment vertical="top"/>
    </xf>
    <xf numFmtId="0" fontId="22" fillId="0" borderId="0" xfId="17" applyFont="1"/>
    <xf numFmtId="0" fontId="14" fillId="0" borderId="12" xfId="20" applyFont="1" applyBorder="1" applyAlignment="1">
      <alignment horizontal="center" vertical="top"/>
    </xf>
    <xf numFmtId="0" fontId="14" fillId="0" borderId="12" xfId="20" applyFont="1" applyBorder="1" applyAlignment="1">
      <alignment vertical="top"/>
    </xf>
    <xf numFmtId="0" fontId="22" fillId="0" borderId="0" xfId="15" applyFont="1" applyAlignment="1">
      <alignment horizontal="center"/>
    </xf>
    <xf numFmtId="0" fontId="21" fillId="0" borderId="8" xfId="20" applyFont="1" applyBorder="1" applyAlignment="1">
      <alignment horizontal="center" vertical="top"/>
    </xf>
    <xf numFmtId="0" fontId="21" fillId="0" borderId="5" xfId="20" applyFont="1" applyBorder="1" applyAlignment="1">
      <alignment horizontal="center" vertical="top" wrapText="1"/>
    </xf>
    <xf numFmtId="0" fontId="21" fillId="0" borderId="9" xfId="20" applyFont="1" applyBorder="1" applyAlignment="1">
      <alignment vertical="top" wrapText="1"/>
    </xf>
    <xf numFmtId="3" fontId="21" fillId="0" borderId="4" xfId="20" applyNumberFormat="1" applyFont="1" applyBorder="1" applyAlignment="1">
      <alignment vertical="top"/>
    </xf>
    <xf numFmtId="3" fontId="21" fillId="0" borderId="0" xfId="20" applyNumberFormat="1" applyFont="1" applyAlignment="1">
      <alignment vertical="top"/>
    </xf>
    <xf numFmtId="0" fontId="21" fillId="0" borderId="0" xfId="20" applyFont="1" applyAlignment="1">
      <alignment vertical="top"/>
    </xf>
    <xf numFmtId="0" fontId="21" fillId="0" borderId="6" xfId="20" applyFont="1" applyBorder="1" applyAlignment="1">
      <alignment vertical="top" wrapText="1"/>
    </xf>
    <xf numFmtId="3" fontId="21" fillId="0" borderId="5" xfId="20" applyNumberFormat="1" applyFont="1" applyBorder="1" applyAlignment="1">
      <alignment horizontal="center" vertical="top"/>
    </xf>
    <xf numFmtId="3" fontId="21" fillId="0" borderId="4" xfId="20" applyNumberFormat="1" applyFont="1" applyBorder="1" applyAlignment="1">
      <alignment horizontal="right" vertical="top"/>
    </xf>
    <xf numFmtId="3" fontId="21" fillId="0" borderId="15" xfId="20" applyNumberFormat="1" applyFont="1" applyBorder="1" applyAlignment="1">
      <alignment vertical="top" wrapText="1"/>
    </xf>
    <xf numFmtId="0" fontId="21" fillId="0" borderId="0" xfId="20" applyFont="1" applyAlignment="1">
      <alignment vertical="top" wrapText="1"/>
    </xf>
    <xf numFmtId="3" fontId="21" fillId="0" borderId="3" xfId="20" applyNumberFormat="1" applyFont="1" applyBorder="1" applyAlignment="1">
      <alignment vertical="top"/>
    </xf>
    <xf numFmtId="0" fontId="21" fillId="0" borderId="15" xfId="20" applyFont="1" applyBorder="1" applyAlignment="1">
      <alignment vertical="top" wrapText="1"/>
    </xf>
    <xf numFmtId="3" fontId="21" fillId="0" borderId="0" xfId="20" applyNumberFormat="1" applyFont="1" applyAlignment="1">
      <alignment vertical="center"/>
    </xf>
    <xf numFmtId="0" fontId="21" fillId="0" borderId="0" xfId="20" applyFont="1" applyAlignment="1">
      <alignment vertical="center"/>
    </xf>
    <xf numFmtId="3" fontId="21" fillId="0" borderId="2" xfId="20" applyNumberFormat="1" applyFont="1" applyBorder="1" applyAlignment="1">
      <alignment vertical="top"/>
    </xf>
    <xf numFmtId="49" fontId="25" fillId="0" borderId="0" xfId="16" applyNumberFormat="1" applyFont="1" applyAlignment="1">
      <alignment horizontal="center" vertical="center"/>
    </xf>
    <xf numFmtId="49" fontId="22" fillId="0" borderId="0" xfId="16" applyNumberFormat="1" applyFont="1" applyAlignment="1">
      <alignment horizontal="center" vertical="center" wrapText="1"/>
    </xf>
    <xf numFmtId="0" fontId="25" fillId="0" borderId="0" xfId="16" applyFont="1" applyAlignment="1">
      <alignment vertical="center"/>
    </xf>
    <xf numFmtId="0" fontId="22" fillId="0" borderId="0" xfId="16" applyFont="1" applyAlignment="1">
      <alignment vertical="center"/>
    </xf>
    <xf numFmtId="0" fontId="22" fillId="0" borderId="0" xfId="16" applyFont="1" applyAlignment="1">
      <alignment horizontal="center" vertical="center"/>
    </xf>
    <xf numFmtId="2" fontId="22" fillId="0" borderId="0" xfId="16" applyNumberFormat="1" applyFont="1" applyAlignment="1">
      <alignment horizontal="center" vertical="center"/>
    </xf>
    <xf numFmtId="2" fontId="25" fillId="0" borderId="0" xfId="16" applyNumberFormat="1" applyFont="1" applyAlignment="1">
      <alignment horizontal="center" vertical="center" wrapText="1"/>
    </xf>
    <xf numFmtId="49" fontId="26" fillId="0" borderId="2" xfId="16" applyNumberFormat="1" applyFont="1" applyBorder="1" applyAlignment="1">
      <alignment horizontal="center" vertical="center" wrapText="1"/>
    </xf>
    <xf numFmtId="49" fontId="27" fillId="0" borderId="5" xfId="16" applyNumberFormat="1" applyFont="1" applyBorder="1" applyAlignment="1">
      <alignment horizontal="center" vertical="center" wrapText="1"/>
    </xf>
    <xf numFmtId="49" fontId="26" fillId="0" borderId="5" xfId="16" applyNumberFormat="1" applyFont="1" applyBorder="1" applyAlignment="1">
      <alignment horizontal="center" vertical="center" wrapText="1"/>
    </xf>
    <xf numFmtId="49" fontId="26" fillId="0" borderId="6" xfId="16" applyNumberFormat="1" applyFont="1" applyBorder="1" applyAlignment="1">
      <alignment horizontal="center" vertical="center" wrapText="1"/>
    </xf>
    <xf numFmtId="49" fontId="26" fillId="0" borderId="0" xfId="16" applyNumberFormat="1" applyFont="1" applyAlignment="1">
      <alignment horizontal="center" vertical="center" wrapText="1"/>
    </xf>
    <xf numFmtId="49" fontId="26" fillId="0" borderId="8" xfId="16" applyNumberFormat="1" applyFont="1" applyBorder="1" applyAlignment="1">
      <alignment horizontal="center" vertical="center" wrapText="1"/>
    </xf>
    <xf numFmtId="49" fontId="28" fillId="0" borderId="9" xfId="16" applyNumberFormat="1" applyFont="1" applyBorder="1" applyAlignment="1">
      <alignment horizontal="center" vertical="center" wrapText="1"/>
    </xf>
    <xf numFmtId="49" fontId="29" fillId="0" borderId="9" xfId="16" applyNumberFormat="1" applyFont="1" applyBorder="1" applyAlignment="1">
      <alignment horizontal="center" vertical="center" wrapText="1"/>
    </xf>
    <xf numFmtId="49" fontId="26" fillId="0" borderId="9" xfId="16" applyNumberFormat="1" applyFont="1" applyBorder="1" applyAlignment="1">
      <alignment horizontal="center" vertical="center" wrapText="1"/>
    </xf>
    <xf numFmtId="49" fontId="26" fillId="0" borderId="4" xfId="16" applyNumberFormat="1" applyFont="1" applyBorder="1" applyAlignment="1">
      <alignment horizontal="center" vertical="center" wrapText="1"/>
    </xf>
    <xf numFmtId="49" fontId="25" fillId="2" borderId="5" xfId="16" applyNumberFormat="1" applyFont="1" applyFill="1" applyBorder="1" applyAlignment="1">
      <alignment horizontal="center" vertical="center" wrapText="1"/>
    </xf>
    <xf numFmtId="3" fontId="30" fillId="2" borderId="10" xfId="16" applyNumberFormat="1" applyFont="1" applyFill="1" applyBorder="1" applyAlignment="1">
      <alignment horizontal="left" vertical="center" wrapText="1"/>
    </xf>
    <xf numFmtId="3" fontId="25" fillId="2" borderId="2" xfId="16" applyNumberFormat="1" applyFont="1" applyFill="1" applyBorder="1" applyAlignment="1">
      <alignment horizontal="right" vertical="center" wrapText="1"/>
    </xf>
    <xf numFmtId="3" fontId="25" fillId="2" borderId="5" xfId="16" applyNumberFormat="1" applyFont="1" applyFill="1" applyBorder="1" applyAlignment="1">
      <alignment horizontal="right" vertical="center" wrapText="1"/>
    </xf>
    <xf numFmtId="3" fontId="25" fillId="2" borderId="6" xfId="16" applyNumberFormat="1" applyFont="1" applyFill="1" applyBorder="1" applyAlignment="1">
      <alignment horizontal="right" vertical="center" wrapText="1"/>
    </xf>
    <xf numFmtId="3" fontId="22" fillId="0" borderId="0" xfId="16" applyNumberFormat="1" applyFont="1" applyAlignment="1">
      <alignment vertical="center" wrapText="1"/>
    </xf>
    <xf numFmtId="49" fontId="25" fillId="0" borderId="11" xfId="16" applyNumberFormat="1" applyFont="1" applyBorder="1" applyAlignment="1">
      <alignment horizontal="center" vertical="center" wrapText="1"/>
    </xf>
    <xf numFmtId="3" fontId="31" fillId="0" borderId="12" xfId="16" applyNumberFormat="1" applyFont="1" applyBorder="1" applyAlignment="1">
      <alignment horizontal="center" vertical="center" wrapText="1"/>
    </xf>
    <xf numFmtId="3" fontId="25" fillId="0" borderId="12" xfId="16" applyNumberFormat="1" applyFont="1" applyBorder="1" applyAlignment="1">
      <alignment vertical="center" wrapText="1"/>
    </xf>
    <xf numFmtId="3" fontId="31" fillId="0" borderId="12" xfId="16" applyNumberFormat="1" applyFont="1" applyBorder="1" applyAlignment="1">
      <alignment vertical="center" wrapText="1"/>
    </xf>
    <xf numFmtId="3" fontId="25" fillId="0" borderId="12" xfId="16" applyNumberFormat="1" applyFont="1" applyBorder="1" applyAlignment="1">
      <alignment horizontal="right" vertical="center" wrapText="1"/>
    </xf>
    <xf numFmtId="3" fontId="25" fillId="0" borderId="1" xfId="16" applyNumberFormat="1" applyFont="1" applyBorder="1" applyAlignment="1">
      <alignment horizontal="right" vertical="center" wrapText="1"/>
    </xf>
    <xf numFmtId="3" fontId="25" fillId="0" borderId="13" xfId="16" applyNumberFormat="1" applyFont="1" applyBorder="1" applyAlignment="1">
      <alignment horizontal="right" vertical="center" wrapText="1"/>
    </xf>
    <xf numFmtId="3" fontId="22" fillId="0" borderId="0" xfId="16" applyNumberFormat="1" applyFont="1" applyAlignment="1">
      <alignment horizontal="center" vertical="center" wrapText="1"/>
    </xf>
    <xf numFmtId="49" fontId="22" fillId="0" borderId="11" xfId="16" applyNumberFormat="1" applyFont="1" applyBorder="1" applyAlignment="1">
      <alignment horizontal="center" vertical="center" wrapText="1"/>
    </xf>
    <xf numFmtId="3" fontId="22" fillId="0" borderId="11" xfId="16" applyNumberFormat="1" applyFont="1" applyBorder="1" applyAlignment="1">
      <alignment horizontal="left" vertical="center" wrapText="1"/>
    </xf>
    <xf numFmtId="3" fontId="25" fillId="0" borderId="3" xfId="16" applyNumberFormat="1" applyFont="1" applyBorder="1" applyAlignment="1">
      <alignment horizontal="right" vertical="center" wrapText="1"/>
    </xf>
    <xf numFmtId="3" fontId="22" fillId="0" borderId="1" xfId="16" applyNumberFormat="1" applyFont="1" applyBorder="1" applyAlignment="1">
      <alignment horizontal="right" vertical="center" wrapText="1"/>
    </xf>
    <xf numFmtId="3" fontId="22" fillId="0" borderId="11" xfId="16" applyNumberFormat="1" applyFont="1" applyBorder="1" applyAlignment="1">
      <alignment horizontal="right" vertical="center" wrapText="1"/>
    </xf>
    <xf numFmtId="3" fontId="22" fillId="0" borderId="12" xfId="16" applyNumberFormat="1" applyFont="1" applyBorder="1" applyAlignment="1">
      <alignment horizontal="right" vertical="center" wrapText="1"/>
    </xf>
    <xf numFmtId="3" fontId="22" fillId="0" borderId="13" xfId="16" applyNumberFormat="1" applyFont="1" applyBorder="1" applyAlignment="1">
      <alignment horizontal="right" vertical="center" wrapText="1"/>
    </xf>
    <xf numFmtId="3" fontId="25" fillId="0" borderId="2" xfId="16" applyNumberFormat="1" applyFont="1" applyBorder="1" applyAlignment="1">
      <alignment horizontal="right" vertical="center" wrapText="1"/>
    </xf>
    <xf numFmtId="49" fontId="22" fillId="0" borderId="5" xfId="16" applyNumberFormat="1" applyFont="1" applyBorder="1" applyAlignment="1">
      <alignment horizontal="center" vertical="center"/>
    </xf>
    <xf numFmtId="49" fontId="22" fillId="0" borderId="5" xfId="16" applyNumberFormat="1" applyFont="1" applyBorder="1" applyAlignment="1">
      <alignment horizontal="left" vertical="center" wrapText="1"/>
    </xf>
    <xf numFmtId="3" fontId="22" fillId="0" borderId="2" xfId="16" applyNumberFormat="1" applyFont="1" applyBorder="1" applyAlignment="1">
      <alignment vertical="center"/>
    </xf>
    <xf numFmtId="3" fontId="22" fillId="0" borderId="10" xfId="16" applyNumberFormat="1" applyFont="1" applyBorder="1" applyAlignment="1">
      <alignment vertical="center"/>
    </xf>
    <xf numFmtId="3" fontId="22" fillId="0" borderId="6" xfId="16" applyNumberFormat="1" applyFont="1" applyBorder="1" applyAlignment="1">
      <alignment vertical="center"/>
    </xf>
    <xf numFmtId="3" fontId="22" fillId="0" borderId="5" xfId="16" applyNumberFormat="1" applyFont="1" applyBorder="1" applyAlignment="1">
      <alignment vertical="center"/>
    </xf>
    <xf numFmtId="49" fontId="22" fillId="0" borderId="2" xfId="16" applyNumberFormat="1" applyFont="1" applyBorder="1" applyAlignment="1">
      <alignment horizontal="center" vertical="center"/>
    </xf>
    <xf numFmtId="49" fontId="22" fillId="0" borderId="2" xfId="16" applyNumberFormat="1" applyFont="1" applyBorder="1" applyAlignment="1">
      <alignment horizontal="left" vertical="center" wrapText="1"/>
    </xf>
    <xf numFmtId="49" fontId="25" fillId="0" borderId="14" xfId="16" applyNumberFormat="1" applyFont="1" applyBorder="1" applyAlignment="1">
      <alignment horizontal="center" vertical="center" wrapText="1"/>
    </xf>
    <xf numFmtId="3" fontId="31" fillId="0" borderId="0" xfId="16" applyNumberFormat="1" applyFont="1" applyAlignment="1">
      <alignment horizontal="center" vertical="center" wrapText="1"/>
    </xf>
    <xf numFmtId="3" fontId="25" fillId="0" borderId="0" xfId="16" applyNumberFormat="1" applyFont="1" applyAlignment="1">
      <alignment vertical="center" wrapText="1"/>
    </xf>
    <xf numFmtId="3" fontId="31" fillId="0" borderId="0" xfId="16" applyNumberFormat="1" applyFont="1" applyAlignment="1">
      <alignment vertical="center" wrapText="1"/>
    </xf>
    <xf numFmtId="3" fontId="25" fillId="0" borderId="0" xfId="16" applyNumberFormat="1" applyFont="1" applyAlignment="1">
      <alignment horizontal="right" vertical="center" wrapText="1"/>
    </xf>
    <xf numFmtId="3" fontId="25" fillId="0" borderId="7" xfId="16" applyNumberFormat="1" applyFont="1" applyBorder="1" applyAlignment="1">
      <alignment horizontal="right" vertical="center" wrapText="1"/>
    </xf>
    <xf numFmtId="49" fontId="25" fillId="2" borderId="8" xfId="16" applyNumberFormat="1" applyFont="1" applyFill="1" applyBorder="1" applyAlignment="1">
      <alignment horizontal="center" vertical="center" wrapText="1"/>
    </xf>
    <xf numFmtId="3" fontId="30" fillId="2" borderId="9" xfId="16" applyNumberFormat="1" applyFont="1" applyFill="1" applyBorder="1" applyAlignment="1">
      <alignment horizontal="left" vertical="center" wrapText="1"/>
    </xf>
    <xf numFmtId="3" fontId="25" fillId="2" borderId="4" xfId="16" applyNumberFormat="1" applyFont="1" applyFill="1" applyBorder="1" applyAlignment="1">
      <alignment horizontal="right" vertical="center" wrapText="1"/>
    </xf>
    <xf numFmtId="49" fontId="22" fillId="0" borderId="4" xfId="16" applyNumberFormat="1" applyFont="1" applyBorder="1" applyAlignment="1">
      <alignment horizontal="center" vertical="center"/>
    </xf>
    <xf numFmtId="49" fontId="22" fillId="0" borderId="4" xfId="16" applyNumberFormat="1" applyFont="1" applyBorder="1" applyAlignment="1">
      <alignment horizontal="left" vertical="center" wrapText="1"/>
    </xf>
    <xf numFmtId="3" fontId="25" fillId="0" borderId="4" xfId="16" applyNumberFormat="1" applyFont="1" applyBorder="1" applyAlignment="1">
      <alignment horizontal="right" vertical="center" wrapText="1"/>
    </xf>
    <xf numFmtId="3" fontId="22" fillId="0" borderId="4" xfId="16" applyNumberFormat="1" applyFont="1" applyBorder="1" applyAlignment="1">
      <alignment vertical="center"/>
    </xf>
    <xf numFmtId="3" fontId="22" fillId="0" borderId="8" xfId="16" applyNumberFormat="1" applyFont="1" applyBorder="1" applyAlignment="1">
      <alignment vertical="center"/>
    </xf>
    <xf numFmtId="3" fontId="22" fillId="0" borderId="9" xfId="16" applyNumberFormat="1" applyFont="1" applyBorder="1" applyAlignment="1">
      <alignment vertical="center"/>
    </xf>
    <xf numFmtId="3" fontId="22" fillId="0" borderId="3" xfId="16" applyNumberFormat="1" applyFont="1" applyBorder="1" applyAlignment="1">
      <alignment vertical="center"/>
    </xf>
    <xf numFmtId="3" fontId="22" fillId="0" borderId="15" xfId="16" applyNumberFormat="1" applyFont="1" applyBorder="1" applyAlignment="1">
      <alignment vertical="center"/>
    </xf>
    <xf numFmtId="3" fontId="30" fillId="2" borderId="2" xfId="16" applyNumberFormat="1" applyFont="1" applyFill="1" applyBorder="1" applyAlignment="1">
      <alignment vertical="center"/>
    </xf>
    <xf numFmtId="3" fontId="30" fillId="2" borderId="5" xfId="16" applyNumberFormat="1" applyFont="1" applyFill="1" applyBorder="1" applyAlignment="1">
      <alignment vertical="center"/>
    </xf>
    <xf numFmtId="3" fontId="30" fillId="2" borderId="6" xfId="16" applyNumberFormat="1" applyFont="1" applyFill="1" applyBorder="1" applyAlignment="1">
      <alignment vertical="center"/>
    </xf>
    <xf numFmtId="0" fontId="32" fillId="3" borderId="0" xfId="16" applyFont="1" applyFill="1" applyAlignment="1">
      <alignment vertical="center"/>
    </xf>
    <xf numFmtId="0" fontId="25" fillId="4" borderId="0" xfId="16" applyFont="1" applyFill="1" applyAlignment="1">
      <alignment vertical="center"/>
    </xf>
    <xf numFmtId="49" fontId="12" fillId="0" borderId="4" xfId="20" applyNumberFormat="1" applyFont="1" applyBorder="1" applyAlignment="1">
      <alignment horizontal="center" vertical="top" wrapText="1"/>
    </xf>
    <xf numFmtId="0" fontId="12" fillId="0" borderId="4" xfId="20" applyFont="1" applyBorder="1" applyAlignment="1">
      <alignment horizontal="left" vertical="top"/>
    </xf>
    <xf numFmtId="0" fontId="12" fillId="0" borderId="14" xfId="20" applyFont="1" applyBorder="1" applyAlignment="1">
      <alignment horizontal="center" vertical="top"/>
    </xf>
    <xf numFmtId="3" fontId="12" fillId="0" borderId="4" xfId="20" applyNumberFormat="1" applyFont="1" applyBorder="1" applyAlignment="1">
      <alignment vertical="top"/>
    </xf>
    <xf numFmtId="0" fontId="12" fillId="0" borderId="4" xfId="20" applyFont="1" applyBorder="1" applyAlignment="1">
      <alignment horizontal="center" vertical="top"/>
    </xf>
    <xf numFmtId="0" fontId="12" fillId="0" borderId="0" xfId="20" applyFont="1" applyAlignment="1">
      <alignment horizontal="center" vertical="center"/>
    </xf>
    <xf numFmtId="49" fontId="33" fillId="0" borderId="16" xfId="20" applyNumberFormat="1" applyFont="1" applyBorder="1" applyAlignment="1">
      <alignment horizontal="center" vertical="top" wrapText="1"/>
    </xf>
    <xf numFmtId="0" fontId="33" fillId="0" borderId="17" xfId="20" applyFont="1" applyBorder="1" applyAlignment="1">
      <alignment horizontal="left" vertical="top"/>
    </xf>
    <xf numFmtId="3" fontId="33" fillId="0" borderId="16" xfId="20" applyNumberFormat="1" applyFont="1" applyBorder="1" applyAlignment="1">
      <alignment vertical="top"/>
    </xf>
    <xf numFmtId="0" fontId="12" fillId="0" borderId="16" xfId="20" applyFont="1" applyBorder="1" applyAlignment="1">
      <alignment horizontal="center" vertical="top"/>
    </xf>
    <xf numFmtId="49" fontId="33" fillId="0" borderId="18" xfId="20" applyNumberFormat="1" applyFont="1" applyBorder="1" applyAlignment="1">
      <alignment horizontal="center" vertical="top" wrapText="1"/>
    </xf>
    <xf numFmtId="0" fontId="33" fillId="0" borderId="19" xfId="20" applyFont="1" applyBorder="1" applyAlignment="1">
      <alignment horizontal="left" vertical="top" wrapText="1"/>
    </xf>
    <xf numFmtId="3" fontId="33" fillId="0" borderId="18" xfId="20" applyNumberFormat="1" applyFont="1" applyBorder="1" applyAlignment="1">
      <alignment vertical="top"/>
    </xf>
    <xf numFmtId="0" fontId="12" fillId="0" borderId="18" xfId="20" applyFont="1" applyBorder="1" applyAlignment="1">
      <alignment horizontal="center" vertical="top"/>
    </xf>
    <xf numFmtId="0" fontId="33" fillId="0" borderId="16" xfId="20" applyFont="1" applyBorder="1" applyAlignment="1">
      <alignment horizontal="center" vertical="top" wrapText="1"/>
    </xf>
    <xf numFmtId="3" fontId="33" fillId="0" borderId="16" xfId="20" applyNumberFormat="1" applyFont="1" applyBorder="1" applyAlignment="1">
      <alignment horizontal="right" vertical="top"/>
    </xf>
    <xf numFmtId="0" fontId="33" fillId="0" borderId="17" xfId="20" applyFont="1" applyBorder="1" applyAlignment="1">
      <alignment vertical="top"/>
    </xf>
    <xf numFmtId="0" fontId="33" fillId="0" borderId="17" xfId="20" applyFont="1" applyBorder="1" applyAlignment="1">
      <alignment vertical="top" wrapText="1"/>
    </xf>
    <xf numFmtId="0" fontId="33" fillId="0" borderId="14" xfId="20" applyFont="1" applyBorder="1" applyAlignment="1">
      <alignment horizontal="center" vertical="top"/>
    </xf>
    <xf numFmtId="0" fontId="33" fillId="0" borderId="16" xfId="20" applyFont="1" applyBorder="1" applyAlignment="1">
      <alignment horizontal="center" vertical="top"/>
    </xf>
    <xf numFmtId="0" fontId="33" fillId="0" borderId="16" xfId="20" applyFont="1" applyBorder="1" applyAlignment="1">
      <alignment vertical="top" wrapText="1"/>
    </xf>
    <xf numFmtId="3" fontId="33" fillId="0" borderId="0" xfId="20" applyNumberFormat="1" applyFont="1" applyAlignment="1">
      <alignment vertical="center"/>
    </xf>
    <xf numFmtId="0" fontId="33" fillId="0" borderId="0" xfId="20" applyFont="1" applyAlignment="1">
      <alignment vertical="center"/>
    </xf>
    <xf numFmtId="0" fontId="33" fillId="0" borderId="18" xfId="20" applyFont="1" applyBorder="1" applyAlignment="1">
      <alignment horizontal="center" vertical="top"/>
    </xf>
    <xf numFmtId="0" fontId="33" fillId="0" borderId="18" xfId="20" applyFont="1" applyBorder="1" applyAlignment="1">
      <alignment vertical="top" wrapText="1"/>
    </xf>
    <xf numFmtId="0" fontId="33" fillId="0" borderId="19" xfId="20" applyFont="1" applyBorder="1" applyAlignment="1">
      <alignment vertical="top" wrapText="1"/>
    </xf>
    <xf numFmtId="0" fontId="33" fillId="0" borderId="17" xfId="20" applyFont="1" applyBorder="1" applyAlignment="1">
      <alignment horizontal="left" vertical="top" wrapText="1"/>
    </xf>
    <xf numFmtId="0" fontId="12" fillId="0" borderId="20" xfId="20" applyFont="1" applyBorder="1" applyAlignment="1">
      <alignment horizontal="center" vertical="top"/>
    </xf>
    <xf numFmtId="0" fontId="33" fillId="0" borderId="0" xfId="20" applyFont="1" applyAlignment="1">
      <alignment horizontal="left" vertical="top" wrapText="1"/>
    </xf>
    <xf numFmtId="0" fontId="12" fillId="0" borderId="4" xfId="20" applyFont="1" applyBorder="1" applyAlignment="1">
      <alignment horizontal="center" vertical="top" wrapText="1"/>
    </xf>
    <xf numFmtId="0" fontId="12" fillId="0" borderId="4" xfId="20" applyFont="1" applyBorder="1" applyAlignment="1">
      <alignment vertical="top" wrapText="1"/>
    </xf>
    <xf numFmtId="3" fontId="12" fillId="0" borderId="4" xfId="20" applyNumberFormat="1" applyFont="1" applyBorder="1" applyAlignment="1">
      <alignment horizontal="center" vertical="top"/>
    </xf>
    <xf numFmtId="3" fontId="12" fillId="0" borderId="0" xfId="20" applyNumberFormat="1" applyFont="1" applyAlignment="1">
      <alignment vertical="top"/>
    </xf>
    <xf numFmtId="0" fontId="12" fillId="0" borderId="0" xfId="20" applyFont="1" applyAlignment="1">
      <alignment vertical="top"/>
    </xf>
    <xf numFmtId="49" fontId="33" fillId="0" borderId="21" xfId="20" applyNumberFormat="1" applyFont="1" applyBorder="1" applyAlignment="1">
      <alignment horizontal="center" vertical="top" wrapText="1"/>
    </xf>
    <xf numFmtId="0" fontId="33" fillId="0" borderId="22" xfId="20" applyFont="1" applyBorder="1" applyAlignment="1">
      <alignment vertical="top" wrapText="1"/>
    </xf>
    <xf numFmtId="3" fontId="33" fillId="0" borderId="21" xfId="20" applyNumberFormat="1" applyFont="1" applyBorder="1" applyAlignment="1">
      <alignment vertical="top"/>
    </xf>
    <xf numFmtId="3" fontId="33" fillId="0" borderId="0" xfId="20" applyNumberFormat="1" applyFont="1" applyAlignment="1">
      <alignment vertical="top"/>
    </xf>
    <xf numFmtId="0" fontId="33" fillId="0" borderId="0" xfId="20" applyFont="1" applyAlignment="1">
      <alignment vertical="top"/>
    </xf>
    <xf numFmtId="0" fontId="33" fillId="0" borderId="21" xfId="20" applyFont="1" applyBorder="1" applyAlignment="1">
      <alignment horizontal="center" vertical="top"/>
    </xf>
    <xf numFmtId="0" fontId="12" fillId="0" borderId="3" xfId="20" applyFont="1" applyBorder="1" applyAlignment="1">
      <alignment horizontal="center" vertical="top"/>
    </xf>
    <xf numFmtId="3" fontId="12" fillId="0" borderId="21" xfId="20" applyNumberFormat="1" applyFont="1" applyBorder="1" applyAlignment="1">
      <alignment vertical="top"/>
    </xf>
    <xf numFmtId="0" fontId="12" fillId="0" borderId="11" xfId="20" applyFont="1" applyBorder="1" applyAlignment="1">
      <alignment horizontal="center" vertical="top"/>
    </xf>
    <xf numFmtId="0" fontId="33" fillId="0" borderId="23" xfId="20" applyFont="1" applyBorder="1" applyAlignment="1">
      <alignment vertical="top" wrapText="1"/>
    </xf>
    <xf numFmtId="3" fontId="12" fillId="0" borderId="16" xfId="20" applyNumberFormat="1" applyFont="1" applyBorder="1" applyAlignment="1">
      <alignment vertical="top"/>
    </xf>
    <xf numFmtId="0" fontId="12" fillId="0" borderId="24" xfId="20" applyFont="1" applyBorder="1" applyAlignment="1">
      <alignment horizontal="center" vertical="top"/>
    </xf>
    <xf numFmtId="0" fontId="12" fillId="0" borderId="24" xfId="20" applyFont="1" applyBorder="1" applyAlignment="1">
      <alignment vertical="top"/>
    </xf>
    <xf numFmtId="3" fontId="12" fillId="0" borderId="24" xfId="20" applyNumberFormat="1" applyFont="1" applyBorder="1" applyAlignment="1">
      <alignment vertical="top"/>
    </xf>
    <xf numFmtId="0" fontId="33" fillId="0" borderId="21" xfId="20" applyFont="1" applyBorder="1" applyAlignment="1">
      <alignment vertical="top"/>
    </xf>
    <xf numFmtId="0" fontId="12" fillId="0" borderId="25" xfId="20" applyFont="1" applyBorder="1" applyAlignment="1">
      <alignment vertical="top"/>
    </xf>
    <xf numFmtId="3" fontId="12" fillId="0" borderId="25" xfId="20" applyNumberFormat="1" applyFont="1" applyBorder="1" applyAlignment="1">
      <alignment vertical="top"/>
    </xf>
    <xf numFmtId="0" fontId="33" fillId="0" borderId="16" xfId="20" applyFont="1" applyBorder="1" applyAlignment="1">
      <alignment vertical="top"/>
    </xf>
    <xf numFmtId="0" fontId="33" fillId="0" borderId="21" xfId="20" applyFont="1" applyBorder="1" applyAlignment="1">
      <alignment vertical="top" wrapText="1"/>
    </xf>
    <xf numFmtId="3" fontId="33" fillId="0" borderId="3" xfId="20" applyNumberFormat="1" applyFont="1" applyBorder="1" applyAlignment="1">
      <alignment vertical="top"/>
    </xf>
    <xf numFmtId="0" fontId="33" fillId="0" borderId="26" xfId="20" applyFont="1" applyBorder="1" applyAlignment="1">
      <alignment horizontal="left" vertical="top"/>
    </xf>
    <xf numFmtId="0" fontId="12" fillId="0" borderId="25" xfId="20" applyFont="1" applyBorder="1" applyAlignment="1">
      <alignment horizontal="center" vertical="top"/>
    </xf>
    <xf numFmtId="3" fontId="12" fillId="0" borderId="18" xfId="20" applyNumberFormat="1" applyFont="1" applyBorder="1" applyAlignment="1">
      <alignment vertical="top"/>
    </xf>
    <xf numFmtId="0" fontId="12" fillId="0" borderId="1" xfId="20" applyFont="1" applyBorder="1" applyAlignment="1">
      <alignment horizontal="center" vertical="top"/>
    </xf>
    <xf numFmtId="0" fontId="12" fillId="0" borderId="27" xfId="20" applyFont="1" applyBorder="1" applyAlignment="1">
      <alignment vertical="top" wrapText="1"/>
    </xf>
    <xf numFmtId="0" fontId="12" fillId="0" borderId="20" xfId="20" applyFont="1" applyBorder="1" applyAlignment="1">
      <alignment vertical="top" wrapText="1"/>
    </xf>
    <xf numFmtId="3" fontId="12" fillId="0" borderId="0" xfId="20" applyNumberFormat="1" applyFont="1" applyAlignment="1">
      <alignment vertical="center"/>
    </xf>
    <xf numFmtId="0" fontId="12" fillId="0" borderId="0" xfId="20" applyFont="1" applyAlignment="1">
      <alignment vertical="center"/>
    </xf>
    <xf numFmtId="0" fontId="33" fillId="0" borderId="3" xfId="20" applyFont="1" applyBorder="1" applyAlignment="1">
      <alignment horizontal="center" vertical="top"/>
    </xf>
    <xf numFmtId="0" fontId="33" fillId="0" borderId="25" xfId="20" applyFont="1" applyBorder="1" applyAlignment="1">
      <alignment vertical="top"/>
    </xf>
    <xf numFmtId="0" fontId="12" fillId="0" borderId="24" xfId="20" applyFont="1" applyBorder="1" applyAlignment="1">
      <alignment vertical="top" wrapText="1"/>
    </xf>
    <xf numFmtId="0" fontId="12" fillId="0" borderId="25" xfId="20" applyFont="1" applyBorder="1" applyAlignment="1">
      <alignment vertical="top" wrapText="1"/>
    </xf>
    <xf numFmtId="3" fontId="12" fillId="0" borderId="3" xfId="20" applyNumberFormat="1" applyFont="1" applyBorder="1" applyAlignment="1">
      <alignment vertical="top"/>
    </xf>
    <xf numFmtId="3" fontId="12" fillId="0" borderId="1" xfId="20" applyNumberFormat="1" applyFont="1" applyBorder="1" applyAlignment="1">
      <alignment vertical="top"/>
    </xf>
    <xf numFmtId="0" fontId="12" fillId="0" borderId="20" xfId="20" applyFont="1" applyBorder="1" applyAlignment="1">
      <alignment vertical="top"/>
    </xf>
    <xf numFmtId="0" fontId="33" fillId="0" borderId="18" xfId="20" applyFont="1" applyBorder="1" applyAlignment="1">
      <alignment vertical="top"/>
    </xf>
    <xf numFmtId="0" fontId="12" fillId="0" borderId="4" xfId="20" applyFont="1" applyBorder="1" applyAlignment="1">
      <alignment horizontal="left" vertical="top" wrapText="1"/>
    </xf>
    <xf numFmtId="0" fontId="21" fillId="0" borderId="2" xfId="20" applyFont="1" applyBorder="1" applyAlignment="1">
      <alignment horizontal="center" vertical="top" wrapText="1"/>
    </xf>
    <xf numFmtId="0" fontId="33" fillId="0" borderId="3" xfId="20" applyFont="1" applyBorder="1" applyAlignment="1">
      <alignment horizontal="center" vertical="top" wrapText="1"/>
    </xf>
    <xf numFmtId="49" fontId="25" fillId="0" borderId="5" xfId="16" applyNumberFormat="1" applyFont="1" applyBorder="1" applyAlignment="1">
      <alignment horizontal="center" vertical="center" wrapText="1"/>
    </xf>
    <xf numFmtId="3" fontId="31" fillId="0" borderId="10" xfId="16" applyNumberFormat="1" applyFont="1" applyBorder="1" applyAlignment="1">
      <alignment horizontal="center" vertical="center" wrapText="1"/>
    </xf>
    <xf numFmtId="3" fontId="25" fillId="0" borderId="10" xfId="16" applyNumberFormat="1" applyFont="1" applyBorder="1" applyAlignment="1">
      <alignment vertical="center" wrapText="1"/>
    </xf>
    <xf numFmtId="3" fontId="31" fillId="0" borderId="10" xfId="16" applyNumberFormat="1" applyFont="1" applyBorder="1" applyAlignment="1">
      <alignment vertical="center" wrapText="1"/>
    </xf>
    <xf numFmtId="3" fontId="25" fillId="0" borderId="10" xfId="16" applyNumberFormat="1" applyFont="1" applyBorder="1" applyAlignment="1">
      <alignment horizontal="right" vertical="center" wrapText="1"/>
    </xf>
    <xf numFmtId="3" fontId="25" fillId="0" borderId="6" xfId="16" applyNumberFormat="1" applyFont="1" applyBorder="1" applyAlignment="1">
      <alignment horizontal="right" vertical="center" wrapText="1"/>
    </xf>
    <xf numFmtId="0" fontId="34" fillId="0" borderId="2" xfId="20" applyFont="1" applyBorder="1" applyAlignment="1">
      <alignment horizontal="center" vertical="center" wrapText="1"/>
    </xf>
    <xf numFmtId="0" fontId="34" fillId="0" borderId="2" xfId="20" applyFont="1" applyBorder="1" applyAlignment="1">
      <alignment horizontal="center" vertical="center"/>
    </xf>
    <xf numFmtId="0" fontId="34" fillId="0" borderId="4" xfId="20" applyFont="1" applyBorder="1" applyAlignment="1">
      <alignment horizontal="center" vertical="center" wrapText="1"/>
    </xf>
    <xf numFmtId="0" fontId="34" fillId="0" borderId="4" xfId="20" applyFont="1" applyBorder="1" applyAlignment="1">
      <alignment horizontal="center" vertical="center"/>
    </xf>
    <xf numFmtId="0" fontId="34" fillId="0" borderId="0" xfId="20" applyFont="1" applyAlignment="1">
      <alignment horizontal="center" vertical="center"/>
    </xf>
    <xf numFmtId="0" fontId="33" fillId="0" borderId="21" xfId="20" applyFont="1" applyBorder="1" applyAlignment="1">
      <alignment horizontal="center" vertical="top" wrapText="1"/>
    </xf>
    <xf numFmtId="0" fontId="33" fillId="0" borderId="26" xfId="20" applyFont="1" applyBorder="1" applyAlignment="1">
      <alignment horizontal="left" vertical="top" wrapText="1"/>
    </xf>
    <xf numFmtId="3" fontId="33" fillId="0" borderId="21" xfId="20" applyNumberFormat="1" applyFont="1" applyBorder="1" applyAlignment="1">
      <alignment horizontal="right" vertical="top"/>
    </xf>
    <xf numFmtId="49" fontId="12" fillId="0" borderId="24" xfId="20" applyNumberFormat="1" applyFont="1" applyBorder="1" applyAlignment="1">
      <alignment horizontal="center" vertical="top" wrapText="1"/>
    </xf>
    <xf numFmtId="0" fontId="11" fillId="0" borderId="15" xfId="20" applyFont="1" applyBorder="1" applyAlignment="1">
      <alignment horizontal="left" vertical="top"/>
    </xf>
    <xf numFmtId="3" fontId="12" fillId="0" borderId="24" xfId="20" applyNumberFormat="1" applyFont="1" applyBorder="1" applyAlignment="1">
      <alignment horizontal="right" vertical="top"/>
    </xf>
    <xf numFmtId="0" fontId="11" fillId="0" borderId="27" xfId="20" applyFont="1" applyBorder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49" fontId="36" fillId="0" borderId="0" xfId="0" applyNumberFormat="1" applyFont="1" applyAlignment="1">
      <alignment horizontal="center" vertical="top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left" vertical="top" wrapText="1"/>
    </xf>
    <xf numFmtId="3" fontId="36" fillId="0" borderId="0" xfId="0" applyNumberFormat="1" applyFont="1" applyAlignment="1">
      <alignment horizontal="left" vertical="top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vertical="top" wrapText="1"/>
    </xf>
    <xf numFmtId="3" fontId="36" fillId="0" borderId="0" xfId="0" applyNumberFormat="1" applyFont="1" applyAlignment="1">
      <alignment vertical="top" wrapText="1"/>
    </xf>
    <xf numFmtId="0" fontId="10" fillId="0" borderId="28" xfId="20" applyFont="1" applyBorder="1" applyAlignment="1">
      <alignment horizontal="left" vertical="top" wrapText="1"/>
    </xf>
    <xf numFmtId="0" fontId="8" fillId="0" borderId="28" xfId="20" applyFont="1" applyBorder="1" applyAlignment="1">
      <alignment horizontal="left" vertical="top" wrapText="1"/>
    </xf>
    <xf numFmtId="0" fontId="8" fillId="0" borderId="4" xfId="20" applyFont="1" applyBorder="1" applyAlignment="1">
      <alignment vertical="top" wrapText="1"/>
    </xf>
    <xf numFmtId="0" fontId="21" fillId="0" borderId="8" xfId="24" applyFont="1" applyBorder="1" applyAlignment="1">
      <alignment horizontal="center" vertical="top"/>
    </xf>
    <xf numFmtId="0" fontId="21" fillId="0" borderId="5" xfId="24" applyFont="1" applyBorder="1" applyAlignment="1">
      <alignment horizontal="center" vertical="top"/>
    </xf>
    <xf numFmtId="0" fontId="21" fillId="0" borderId="10" xfId="24" applyFont="1" applyBorder="1" applyAlignment="1">
      <alignment vertical="top" wrapText="1"/>
    </xf>
    <xf numFmtId="3" fontId="8" fillId="0" borderId="0" xfId="20" applyNumberFormat="1" applyFont="1" applyAlignment="1">
      <alignment vertical="top"/>
    </xf>
    <xf numFmtId="0" fontId="8" fillId="0" borderId="0" xfId="20" applyFont="1" applyAlignment="1">
      <alignment vertical="top"/>
    </xf>
    <xf numFmtId="0" fontId="8" fillId="0" borderId="14" xfId="24" applyBorder="1" applyAlignment="1">
      <alignment horizontal="center" vertical="top"/>
    </xf>
    <xf numFmtId="0" fontId="8" fillId="0" borderId="24" xfId="24" applyBorder="1" applyAlignment="1">
      <alignment horizontal="center" vertical="center"/>
    </xf>
    <xf numFmtId="0" fontId="8" fillId="0" borderId="27" xfId="24" applyBorder="1" applyAlignment="1">
      <alignment vertical="center"/>
    </xf>
    <xf numFmtId="49" fontId="33" fillId="0" borderId="21" xfId="24" applyNumberFormat="1" applyFont="1" applyBorder="1" applyAlignment="1">
      <alignment horizontal="center" vertical="top" wrapText="1"/>
    </xf>
    <xf numFmtId="0" fontId="33" fillId="0" borderId="26" xfId="24" applyFont="1" applyBorder="1" applyAlignment="1">
      <alignment horizontal="left" vertical="top" wrapText="1"/>
    </xf>
    <xf numFmtId="0" fontId="8" fillId="0" borderId="24" xfId="24" applyBorder="1" applyAlignment="1">
      <alignment horizontal="center" vertical="top"/>
    </xf>
    <xf numFmtId="0" fontId="33" fillId="0" borderId="9" xfId="24" applyFont="1" applyBorder="1" applyAlignment="1">
      <alignment horizontal="left" vertical="top" wrapText="1"/>
    </xf>
    <xf numFmtId="0" fontId="8" fillId="0" borderId="14" xfId="24" applyBorder="1" applyAlignment="1">
      <alignment horizontal="center" vertical="center"/>
    </xf>
    <xf numFmtId="0" fontId="33" fillId="0" borderId="16" xfId="24" applyFont="1" applyBorder="1" applyAlignment="1">
      <alignment horizontal="center" vertical="center"/>
    </xf>
    <xf numFmtId="0" fontId="33" fillId="0" borderId="16" xfId="24" applyFont="1" applyBorder="1" applyAlignment="1">
      <alignment vertical="top" wrapText="1"/>
    </xf>
    <xf numFmtId="0" fontId="33" fillId="0" borderId="24" xfId="20" applyFont="1" applyBorder="1" applyAlignment="1">
      <alignment horizontal="center" vertical="top"/>
    </xf>
    <xf numFmtId="3" fontId="33" fillId="0" borderId="24" xfId="20" applyNumberFormat="1" applyFont="1" applyBorder="1" applyAlignment="1">
      <alignment vertical="top"/>
    </xf>
    <xf numFmtId="0" fontId="8" fillId="0" borderId="3" xfId="24" applyBorder="1" applyAlignment="1">
      <alignment horizontal="center" vertical="top"/>
    </xf>
    <xf numFmtId="0" fontId="34" fillId="0" borderId="5" xfId="20" applyFont="1" applyBorder="1" applyAlignment="1">
      <alignment horizontal="center" vertical="center"/>
    </xf>
    <xf numFmtId="0" fontId="7" fillId="0" borderId="27" xfId="20" applyFont="1" applyBorder="1" applyAlignment="1">
      <alignment vertical="top" wrapText="1"/>
    </xf>
    <xf numFmtId="0" fontId="5" fillId="0" borderId="28" xfId="20" applyFont="1" applyBorder="1" applyAlignment="1">
      <alignment horizontal="left" vertical="top" wrapText="1"/>
    </xf>
    <xf numFmtId="0" fontId="5" fillId="0" borderId="4" xfId="20" applyFont="1" applyBorder="1" applyAlignment="1">
      <alignment vertical="top" wrapText="1"/>
    </xf>
    <xf numFmtId="0" fontId="5" fillId="0" borderId="27" xfId="20" applyFont="1" applyBorder="1" applyAlignment="1">
      <alignment vertical="top"/>
    </xf>
    <xf numFmtId="0" fontId="12" fillId="0" borderId="8" xfId="20" applyFont="1" applyBorder="1" applyAlignment="1">
      <alignment horizontal="center" vertical="top"/>
    </xf>
    <xf numFmtId="0" fontId="39" fillId="0" borderId="0" xfId="0" applyFont="1" applyAlignment="1">
      <alignment horizontal="center" vertical="center" wrapText="1"/>
    </xf>
    <xf numFmtId="49" fontId="40" fillId="0" borderId="2" xfId="0" applyNumberFormat="1" applyFont="1" applyBorder="1" applyAlignment="1">
      <alignment horizontal="center" vertical="top" wrapText="1"/>
    </xf>
    <xf numFmtId="0" fontId="40" fillId="0" borderId="2" xfId="0" applyFont="1" applyBorder="1" applyAlignment="1">
      <alignment horizontal="center" vertical="center" wrapText="1"/>
    </xf>
    <xf numFmtId="3" fontId="40" fillId="0" borderId="2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2" xfId="0" applyFont="1" applyBorder="1" applyAlignment="1">
      <alignment horizontal="left" vertical="top" wrapText="1"/>
    </xf>
    <xf numFmtId="3" fontId="39" fillId="0" borderId="2" xfId="0" applyNumberFormat="1" applyFont="1" applyBorder="1" applyAlignment="1">
      <alignment horizontal="right" vertical="top" wrapText="1"/>
    </xf>
    <xf numFmtId="49" fontId="41" fillId="0" borderId="2" xfId="26" applyNumberFormat="1" applyFont="1" applyBorder="1" applyAlignment="1">
      <alignment horizontal="center" vertical="top"/>
    </xf>
    <xf numFmtId="0" fontId="39" fillId="0" borderId="2" xfId="0" applyFont="1" applyBorder="1" applyAlignment="1">
      <alignment vertical="top" wrapText="1"/>
    </xf>
    <xf numFmtId="3" fontId="41" fillId="0" borderId="2" xfId="26" applyNumberFormat="1" applyFont="1" applyBorder="1" applyAlignment="1">
      <alignment vertical="top"/>
    </xf>
    <xf numFmtId="0" fontId="41" fillId="0" borderId="0" xfId="26" applyFont="1" applyAlignment="1">
      <alignment vertical="top"/>
    </xf>
    <xf numFmtId="0" fontId="39" fillId="0" borderId="0" xfId="0" applyFont="1" applyAlignment="1">
      <alignment vertical="top" wrapText="1"/>
    </xf>
    <xf numFmtId="49" fontId="41" fillId="0" borderId="3" xfId="26" applyNumberFormat="1" applyFont="1" applyBorder="1" applyAlignment="1">
      <alignment horizontal="center" vertical="top"/>
    </xf>
    <xf numFmtId="0" fontId="41" fillId="0" borderId="3" xfId="26" applyFont="1" applyBorder="1" applyAlignment="1">
      <alignment vertical="top" wrapText="1"/>
    </xf>
    <xf numFmtId="3" fontId="41" fillId="0" borderId="3" xfId="26" applyNumberFormat="1" applyFont="1" applyBorder="1" applyAlignment="1">
      <alignment vertical="top"/>
    </xf>
    <xf numFmtId="49" fontId="23" fillId="0" borderId="3" xfId="26" applyNumberFormat="1" applyFont="1" applyBorder="1" applyAlignment="1">
      <alignment horizontal="center" vertical="top"/>
    </xf>
    <xf numFmtId="0" fontId="23" fillId="0" borderId="3" xfId="26" applyFont="1" applyBorder="1" applyAlignment="1">
      <alignment vertical="top" wrapText="1"/>
    </xf>
    <xf numFmtId="3" fontId="23" fillId="0" borderId="3" xfId="26" applyNumberFormat="1" applyFont="1" applyBorder="1" applyAlignment="1">
      <alignment vertical="top"/>
    </xf>
    <xf numFmtId="0" fontId="23" fillId="0" borderId="0" xfId="26" applyFont="1" applyAlignment="1">
      <alignment vertical="top"/>
    </xf>
    <xf numFmtId="0" fontId="37" fillId="0" borderId="0" xfId="0" applyFont="1" applyAlignment="1">
      <alignment vertical="top" wrapText="1"/>
    </xf>
    <xf numFmtId="0" fontId="41" fillId="0" borderId="2" xfId="0" applyFont="1" applyBorder="1" applyAlignment="1">
      <alignment vertical="top" wrapText="1"/>
    </xf>
    <xf numFmtId="49" fontId="23" fillId="0" borderId="1" xfId="26" applyNumberFormat="1" applyFont="1" applyBorder="1" applyAlignment="1">
      <alignment horizontal="center" vertical="top"/>
    </xf>
    <xf numFmtId="0" fontId="23" fillId="0" borderId="1" xfId="26" applyFont="1" applyBorder="1" applyAlignment="1">
      <alignment vertical="top" wrapText="1"/>
    </xf>
    <xf numFmtId="3" fontId="23" fillId="0" borderId="1" xfId="26" applyNumberFormat="1" applyFont="1" applyBorder="1" applyAlignment="1">
      <alignment vertical="top"/>
    </xf>
    <xf numFmtId="49" fontId="23" fillId="0" borderId="4" xfId="26" applyNumberFormat="1" applyFont="1" applyBorder="1" applyAlignment="1">
      <alignment horizontal="center" vertical="top"/>
    </xf>
    <xf numFmtId="0" fontId="23" fillId="0" borderId="4" xfId="26" applyFont="1" applyBorder="1" applyAlignment="1">
      <alignment vertical="top" wrapText="1"/>
    </xf>
    <xf numFmtId="3" fontId="23" fillId="0" borderId="4" xfId="26" applyNumberFormat="1" applyFont="1" applyBorder="1" applyAlignment="1">
      <alignment vertical="top"/>
    </xf>
    <xf numFmtId="0" fontId="41" fillId="0" borderId="2" xfId="12" applyFont="1" applyBorder="1" applyAlignment="1">
      <alignment vertical="top" wrapText="1"/>
    </xf>
    <xf numFmtId="0" fontId="41" fillId="0" borderId="2" xfId="26" applyFont="1" applyBorder="1" applyAlignment="1">
      <alignment vertical="top" wrapText="1"/>
    </xf>
    <xf numFmtId="49" fontId="41" fillId="0" borderId="1" xfId="26" applyNumberFormat="1" applyFont="1" applyBorder="1" applyAlignment="1">
      <alignment horizontal="center" vertical="top"/>
    </xf>
    <xf numFmtId="0" fontId="41" fillId="0" borderId="1" xfId="26" applyFont="1" applyBorder="1" applyAlignment="1">
      <alignment vertical="top" wrapText="1"/>
    </xf>
    <xf numFmtId="3" fontId="41" fillId="0" borderId="1" xfId="26" applyNumberFormat="1" applyFont="1" applyBorder="1" applyAlignment="1">
      <alignment vertical="top"/>
    </xf>
    <xf numFmtId="0" fontId="41" fillId="0" borderId="6" xfId="0" applyFont="1" applyBorder="1" applyAlignment="1">
      <alignment vertical="top" wrapText="1"/>
    </xf>
    <xf numFmtId="49" fontId="39" fillId="0" borderId="0" xfId="0" applyNumberFormat="1" applyFont="1" applyAlignment="1">
      <alignment horizontal="center" vertical="top" wrapText="1"/>
    </xf>
    <xf numFmtId="49" fontId="37" fillId="0" borderId="0" xfId="0" applyNumberFormat="1" applyFont="1" applyAlignment="1">
      <alignment horizontal="center" vertical="top" wrapText="1"/>
    </xf>
    <xf numFmtId="49" fontId="41" fillId="0" borderId="4" xfId="26" applyNumberFormat="1" applyFont="1" applyBorder="1" applyAlignment="1">
      <alignment horizontal="center" vertical="top"/>
    </xf>
    <xf numFmtId="0" fontId="41" fillId="0" borderId="4" xfId="26" applyFont="1" applyBorder="1" applyAlignment="1">
      <alignment vertical="top" wrapText="1"/>
    </xf>
    <xf numFmtId="3" fontId="41" fillId="0" borderId="4" xfId="26" applyNumberFormat="1" applyFont="1" applyBorder="1" applyAlignment="1">
      <alignment vertical="top"/>
    </xf>
    <xf numFmtId="0" fontId="37" fillId="0" borderId="0" xfId="0" applyFont="1" applyAlignment="1">
      <alignment horizontal="left" vertical="top" wrapText="1"/>
    </xf>
    <xf numFmtId="0" fontId="3" fillId="0" borderId="4" xfId="20" applyFont="1" applyBorder="1" applyAlignment="1">
      <alignment vertical="top" wrapText="1"/>
    </xf>
    <xf numFmtId="49" fontId="23" fillId="0" borderId="2" xfId="26" applyNumberFormat="1" applyFont="1" applyBorder="1" applyAlignment="1">
      <alignment horizontal="center" vertical="top"/>
    </xf>
    <xf numFmtId="0" fontId="23" fillId="0" borderId="2" xfId="26" applyFont="1" applyBorder="1" applyAlignment="1">
      <alignment vertical="top" wrapText="1"/>
    </xf>
    <xf numFmtId="3" fontId="23" fillId="0" borderId="2" xfId="26" applyNumberFormat="1" applyFont="1" applyBorder="1" applyAlignment="1">
      <alignment vertical="top"/>
    </xf>
    <xf numFmtId="49" fontId="37" fillId="0" borderId="0" xfId="0" applyNumberFormat="1" applyFont="1" applyAlignment="1">
      <alignment horizontal="center"/>
    </xf>
    <xf numFmtId="0" fontId="37" fillId="0" borderId="0" xfId="0" applyFont="1"/>
    <xf numFmtId="3" fontId="37" fillId="0" borderId="0" xfId="0" applyNumberFormat="1" applyFont="1"/>
    <xf numFmtId="0" fontId="24" fillId="0" borderId="0" xfId="0" applyFont="1"/>
    <xf numFmtId="0" fontId="39" fillId="0" borderId="0" xfId="0" applyFont="1" applyAlignment="1">
      <alignment wrapText="1"/>
    </xf>
    <xf numFmtId="0" fontId="40" fillId="0" borderId="0" xfId="0" applyFont="1" applyAlignment="1">
      <alignment horizontal="center"/>
    </xf>
    <xf numFmtId="49" fontId="37" fillId="0" borderId="2" xfId="0" applyNumberFormat="1" applyFont="1" applyBorder="1" applyAlignment="1">
      <alignment horizontal="center" vertical="top"/>
    </xf>
    <xf numFmtId="0" fontId="37" fillId="0" borderId="2" xfId="0" applyFont="1" applyBorder="1" applyAlignment="1">
      <alignment vertical="top"/>
    </xf>
    <xf numFmtId="3" fontId="37" fillId="6" borderId="2" xfId="0" applyNumberFormat="1" applyFont="1" applyFill="1" applyBorder="1" applyAlignment="1">
      <alignment vertical="top"/>
    </xf>
    <xf numFmtId="3" fontId="37" fillId="0" borderId="2" xfId="0" applyNumberFormat="1" applyFont="1" applyBorder="1" applyAlignment="1">
      <alignment vertical="top"/>
    </xf>
    <xf numFmtId="0" fontId="37" fillId="0" borderId="0" xfId="0" applyFont="1" applyAlignment="1">
      <alignment vertical="top"/>
    </xf>
    <xf numFmtId="49" fontId="42" fillId="6" borderId="2" xfId="0" applyNumberFormat="1" applyFont="1" applyFill="1" applyBorder="1" applyAlignment="1">
      <alignment horizontal="center" vertical="center"/>
    </xf>
    <xf numFmtId="4" fontId="42" fillId="6" borderId="2" xfId="0" applyNumberFormat="1" applyFont="1" applyFill="1" applyBorder="1" applyAlignment="1">
      <alignment horizontal="left" vertical="center" wrapText="1"/>
    </xf>
    <xf numFmtId="3" fontId="42" fillId="6" borderId="2" xfId="0" applyNumberFormat="1" applyFont="1" applyFill="1" applyBorder="1" applyAlignment="1">
      <alignment horizontal="right" vertical="center"/>
    </xf>
    <xf numFmtId="4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4" fontId="37" fillId="0" borderId="2" xfId="0" applyNumberFormat="1" applyFont="1" applyBorder="1" applyAlignment="1">
      <alignment vertical="top" wrapText="1"/>
    </xf>
    <xf numFmtId="4" fontId="37" fillId="0" borderId="0" xfId="0" applyNumberFormat="1" applyFont="1" applyAlignment="1">
      <alignment vertical="top"/>
    </xf>
    <xf numFmtId="49" fontId="35" fillId="0" borderId="2" xfId="0" applyNumberFormat="1" applyFont="1" applyBorder="1" applyAlignment="1">
      <alignment horizontal="center" vertical="center"/>
    </xf>
    <xf numFmtId="4" fontId="35" fillId="0" borderId="2" xfId="0" applyNumberFormat="1" applyFont="1" applyBorder="1" applyAlignment="1">
      <alignment horizontal="left" vertical="center" wrapText="1"/>
    </xf>
    <xf numFmtId="3" fontId="35" fillId="6" borderId="2" xfId="0" applyNumberFormat="1" applyFont="1" applyFill="1" applyBorder="1" applyAlignment="1">
      <alignment vertical="center"/>
    </xf>
    <xf numFmtId="3" fontId="35" fillId="0" borderId="2" xfId="0" applyNumberFormat="1" applyFont="1" applyBorder="1" applyAlignment="1">
      <alignment vertical="center"/>
    </xf>
    <xf numFmtId="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" fontId="37" fillId="0" borderId="2" xfId="0" applyNumberFormat="1" applyFont="1" applyBorder="1" applyAlignment="1">
      <alignment horizontal="left" vertical="top" wrapText="1"/>
    </xf>
    <xf numFmtId="3" fontId="35" fillId="6" borderId="2" xfId="0" applyNumberFormat="1" applyFont="1" applyFill="1" applyBorder="1" applyAlignment="1">
      <alignment horizontal="right" vertical="center"/>
    </xf>
    <xf numFmtId="3" fontId="35" fillId="0" borderId="2" xfId="0" applyNumberFormat="1" applyFont="1" applyBorder="1" applyAlignment="1">
      <alignment horizontal="right" vertical="center"/>
    </xf>
    <xf numFmtId="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4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3" fontId="35" fillId="5" borderId="2" xfId="0" applyNumberFormat="1" applyFont="1" applyFill="1" applyBorder="1" applyAlignment="1">
      <alignment vertical="center"/>
    </xf>
    <xf numFmtId="3" fontId="37" fillId="6" borderId="2" xfId="0" applyNumberFormat="1" applyFont="1" applyFill="1" applyBorder="1" applyAlignment="1">
      <alignment vertical="center"/>
    </xf>
    <xf numFmtId="3" fontId="37" fillId="0" borderId="2" xfId="0" applyNumberFormat="1" applyFont="1" applyBorder="1" applyAlignment="1">
      <alignment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3" fontId="35" fillId="6" borderId="2" xfId="0" applyNumberFormat="1" applyFont="1" applyFill="1" applyBorder="1" applyAlignment="1">
      <alignment vertical="top"/>
    </xf>
    <xf numFmtId="3" fontId="35" fillId="0" borderId="2" xfId="0" applyNumberFormat="1" applyFont="1" applyBorder="1" applyAlignment="1">
      <alignment vertical="top"/>
    </xf>
    <xf numFmtId="4" fontId="42" fillId="6" borderId="2" xfId="0" applyNumberFormat="1" applyFont="1" applyFill="1" applyBorder="1" applyAlignment="1">
      <alignment horizontal="left" vertical="center"/>
    </xf>
    <xf numFmtId="4" fontId="37" fillId="0" borderId="0" xfId="0" applyNumberFormat="1" applyFont="1"/>
    <xf numFmtId="49" fontId="37" fillId="0" borderId="0" xfId="0" applyNumberFormat="1" applyFont="1" applyAlignment="1">
      <alignment horizontal="left"/>
    </xf>
    <xf numFmtId="3" fontId="37" fillId="0" borderId="0" xfId="0" applyNumberFormat="1" applyFont="1" applyAlignment="1">
      <alignment vertical="top"/>
    </xf>
    <xf numFmtId="0" fontId="22" fillId="0" borderId="0" xfId="17" applyFont="1" applyAlignment="1">
      <alignment vertical="center"/>
    </xf>
    <xf numFmtId="3" fontId="22" fillId="0" borderId="0" xfId="17" applyNumberFormat="1" applyFont="1" applyAlignment="1">
      <alignment horizontal="center" vertical="center" wrapText="1"/>
    </xf>
    <xf numFmtId="3" fontId="22" fillId="0" borderId="0" xfId="17" applyNumberFormat="1" applyFont="1" applyAlignment="1">
      <alignment horizontal="center" vertical="center"/>
    </xf>
    <xf numFmtId="3" fontId="22" fillId="0" borderId="0" xfId="17" applyNumberFormat="1" applyFont="1" applyAlignment="1">
      <alignment horizontal="left" vertical="center"/>
    </xf>
    <xf numFmtId="3" fontId="43" fillId="0" borderId="0" xfId="17" applyNumberFormat="1" applyFont="1" applyAlignment="1">
      <alignment horizontal="left" vertic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left" vertical="center"/>
    </xf>
    <xf numFmtId="3" fontId="32" fillId="0" borderId="2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2" xfId="0" applyFont="1" applyBorder="1"/>
    <xf numFmtId="0" fontId="44" fillId="0" borderId="2" xfId="0" applyFont="1" applyBorder="1" applyAlignment="1">
      <alignment vertical="center"/>
    </xf>
    <xf numFmtId="0" fontId="45" fillId="0" borderId="0" xfId="0" applyFont="1" applyAlignment="1">
      <alignment vertical="center"/>
    </xf>
    <xf numFmtId="49" fontId="22" fillId="0" borderId="2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right" vertical="center"/>
    </xf>
    <xf numFmtId="3" fontId="25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3" fontId="22" fillId="0" borderId="2" xfId="0" applyNumberFormat="1" applyFont="1" applyBorder="1" applyAlignment="1">
      <alignment vertical="center"/>
    </xf>
    <xf numFmtId="3" fontId="22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 wrapText="1"/>
    </xf>
    <xf numFmtId="3" fontId="32" fillId="0" borderId="2" xfId="0" applyNumberFormat="1" applyFont="1" applyBorder="1" applyAlignment="1">
      <alignment horizontal="right" vertical="center"/>
    </xf>
    <xf numFmtId="3" fontId="32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right" vertical="center"/>
    </xf>
    <xf numFmtId="3" fontId="25" fillId="0" borderId="2" xfId="0" applyNumberFormat="1" applyFont="1" applyBorder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3" fontId="22" fillId="0" borderId="0" xfId="16" applyNumberFormat="1" applyFont="1" applyAlignment="1">
      <alignment vertical="center"/>
    </xf>
    <xf numFmtId="0" fontId="37" fillId="0" borderId="0" xfId="0" applyFont="1" applyAlignment="1">
      <alignment horizontal="center"/>
    </xf>
    <xf numFmtId="3" fontId="22" fillId="0" borderId="0" xfId="0" applyNumberFormat="1" applyFont="1" applyAlignment="1">
      <alignment vertical="center"/>
    </xf>
    <xf numFmtId="0" fontId="40" fillId="0" borderId="2" xfId="0" applyFont="1" applyBorder="1" applyAlignment="1">
      <alignment horizontal="center"/>
    </xf>
    <xf numFmtId="3" fontId="40" fillId="0" borderId="2" xfId="0" applyNumberFormat="1" applyFont="1" applyBorder="1" applyAlignment="1">
      <alignment horizontal="center"/>
    </xf>
    <xf numFmtId="3" fontId="40" fillId="0" borderId="5" xfId="0" applyNumberFormat="1" applyFont="1" applyBorder="1" applyAlignment="1">
      <alignment horizontal="center"/>
    </xf>
    <xf numFmtId="0" fontId="39" fillId="0" borderId="3" xfId="0" applyFont="1" applyBorder="1" applyAlignment="1">
      <alignment vertical="center" wrapText="1"/>
    </xf>
    <xf numFmtId="0" fontId="37" fillId="0" borderId="4" xfId="0" applyFont="1" applyBorder="1" applyAlignment="1">
      <alignment horizontal="center"/>
    </xf>
    <xf numFmtId="0" fontId="37" fillId="0" borderId="4" xfId="0" applyFont="1" applyBorder="1" applyAlignment="1">
      <alignment wrapText="1"/>
    </xf>
    <xf numFmtId="3" fontId="37" fillId="0" borderId="4" xfId="0" applyNumberFormat="1" applyFont="1" applyBorder="1"/>
    <xf numFmtId="3" fontId="37" fillId="0" borderId="8" xfId="0" applyNumberFormat="1" applyFont="1" applyBorder="1"/>
    <xf numFmtId="3" fontId="37" fillId="0" borderId="2" xfId="0" applyNumberFormat="1" applyFont="1" applyBorder="1"/>
    <xf numFmtId="0" fontId="42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left" vertical="center" wrapText="1"/>
    </xf>
    <xf numFmtId="3" fontId="42" fillId="0" borderId="2" xfId="0" applyNumberFormat="1" applyFont="1" applyBorder="1" applyAlignment="1">
      <alignment vertical="center"/>
    </xf>
    <xf numFmtId="4" fontId="39" fillId="0" borderId="2" xfId="0" applyNumberFormat="1" applyFont="1" applyBorder="1" applyAlignment="1">
      <alignment vertical="center" wrapText="1"/>
    </xf>
    <xf numFmtId="3" fontId="42" fillId="0" borderId="5" xfId="0" applyNumberFormat="1" applyFont="1" applyBorder="1" applyAlignment="1">
      <alignment vertical="center"/>
    </xf>
    <xf numFmtId="0" fontId="35" fillId="0" borderId="2" xfId="0" applyFont="1" applyBorder="1" applyAlignment="1">
      <alignment horizontal="left" vertical="center" wrapText="1"/>
    </xf>
    <xf numFmtId="3" fontId="35" fillId="0" borderId="5" xfId="0" applyNumberFormat="1" applyFont="1" applyBorder="1" applyAlignment="1">
      <alignment vertical="center"/>
    </xf>
    <xf numFmtId="49" fontId="37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wrapText="1"/>
    </xf>
    <xf numFmtId="3" fontId="37" fillId="0" borderId="1" xfId="0" applyNumberFormat="1" applyFont="1" applyBorder="1"/>
    <xf numFmtId="3" fontId="37" fillId="0" borderId="11" xfId="0" applyNumberFormat="1" applyFont="1" applyBorder="1"/>
    <xf numFmtId="4" fontId="39" fillId="0" borderId="3" xfId="0" applyNumberFormat="1" applyFont="1" applyBorder="1" applyAlignment="1">
      <alignment vertical="center" wrapText="1"/>
    </xf>
    <xf numFmtId="49" fontId="39" fillId="0" borderId="2" xfId="0" applyNumberFormat="1" applyFont="1" applyBorder="1" applyAlignment="1">
      <alignment horizontal="center"/>
    </xf>
    <xf numFmtId="0" fontId="39" fillId="0" borderId="2" xfId="0" applyFont="1" applyBorder="1" applyAlignment="1">
      <alignment horizontal="left" wrapText="1"/>
    </xf>
    <xf numFmtId="3" fontId="39" fillId="0" borderId="2" xfId="0" applyNumberFormat="1" applyFont="1" applyBorder="1"/>
    <xf numFmtId="3" fontId="39" fillId="0" borderId="5" xfId="0" applyNumberFormat="1" applyFont="1" applyBorder="1"/>
    <xf numFmtId="0" fontId="39" fillId="0" borderId="0" xfId="0" applyFont="1"/>
    <xf numFmtId="49" fontId="37" fillId="0" borderId="2" xfId="0" applyNumberFormat="1" applyFont="1" applyBorder="1" applyAlignment="1">
      <alignment horizontal="center"/>
    </xf>
    <xf numFmtId="0" fontId="37" fillId="0" borderId="2" xfId="0" applyFont="1" applyBorder="1" applyAlignment="1">
      <alignment wrapText="1"/>
    </xf>
    <xf numFmtId="3" fontId="37" fillId="0" borderId="5" xfId="0" applyNumberFormat="1" applyFont="1" applyBorder="1"/>
    <xf numFmtId="0" fontId="49" fillId="0" borderId="0" xfId="0" applyFont="1" applyAlignment="1">
      <alignment vertical="center"/>
    </xf>
    <xf numFmtId="3" fontId="49" fillId="0" borderId="2" xfId="0" applyNumberFormat="1" applyFont="1" applyBorder="1" applyAlignment="1">
      <alignment vertical="center"/>
    </xf>
    <xf numFmtId="3" fontId="49" fillId="0" borderId="5" xfId="0" applyNumberFormat="1" applyFont="1" applyBorder="1" applyAlignment="1">
      <alignment vertical="center"/>
    </xf>
    <xf numFmtId="49" fontId="49" fillId="0" borderId="2" xfId="0" applyNumberFormat="1" applyFont="1" applyBorder="1" applyAlignment="1">
      <alignment horizontal="left" wrapText="1"/>
    </xf>
    <xf numFmtId="3" fontId="49" fillId="0" borderId="2" xfId="0" applyNumberFormat="1" applyFont="1" applyBorder="1"/>
    <xf numFmtId="3" fontId="49" fillId="0" borderId="5" xfId="0" applyNumberFormat="1" applyFont="1" applyBorder="1"/>
    <xf numFmtId="0" fontId="49" fillId="0" borderId="0" xfId="0" applyFont="1"/>
    <xf numFmtId="0" fontId="37" fillId="0" borderId="2" xfId="0" applyFont="1" applyBorder="1" applyAlignment="1">
      <alignment horizontal="center"/>
    </xf>
    <xf numFmtId="0" fontId="37" fillId="0" borderId="2" xfId="0" applyFont="1" applyBorder="1" applyAlignment="1">
      <alignment horizontal="left" wrapText="1"/>
    </xf>
    <xf numFmtId="3" fontId="37" fillId="0" borderId="2" xfId="0" applyNumberFormat="1" applyFont="1" applyBorder="1" applyAlignment="1">
      <alignment horizontal="right"/>
    </xf>
    <xf numFmtId="4" fontId="37" fillId="0" borderId="2" xfId="0" applyNumberFormat="1" applyFont="1" applyBorder="1" applyAlignment="1">
      <alignment horizontal="left" wrapText="1"/>
    </xf>
    <xf numFmtId="49" fontId="37" fillId="0" borderId="3" xfId="0" applyNumberFormat="1" applyFont="1" applyBorder="1" applyAlignment="1">
      <alignment horizontal="center"/>
    </xf>
    <xf numFmtId="0" fontId="37" fillId="0" borderId="3" xfId="0" applyFont="1" applyBorder="1" applyAlignment="1">
      <alignment wrapText="1"/>
    </xf>
    <xf numFmtId="0" fontId="37" fillId="0" borderId="4" xfId="0" applyFont="1" applyBorder="1" applyAlignment="1">
      <alignment horizontal="left" wrapText="1"/>
    </xf>
    <xf numFmtId="4" fontId="37" fillId="0" borderId="6" xfId="0" applyNumberFormat="1" applyFont="1" applyBorder="1" applyAlignment="1">
      <alignment horizontal="left" wrapText="1"/>
    </xf>
    <xf numFmtId="3" fontId="37" fillId="0" borderId="4" xfId="0" applyNumberFormat="1" applyFont="1" applyBorder="1" applyAlignment="1">
      <alignment horizontal="right"/>
    </xf>
    <xf numFmtId="3" fontId="37" fillId="0" borderId="8" xfId="0" applyNumberFormat="1" applyFont="1" applyBorder="1" applyAlignment="1">
      <alignment horizontal="right"/>
    </xf>
    <xf numFmtId="3" fontId="37" fillId="0" borderId="1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2" xfId="0" applyNumberFormat="1" applyFont="1" applyBorder="1" applyAlignment="1">
      <alignment horizontal="center"/>
    </xf>
    <xf numFmtId="3" fontId="37" fillId="0" borderId="5" xfId="0" applyNumberFormat="1" applyFont="1" applyBorder="1" applyAlignment="1">
      <alignment horizontal="center"/>
    </xf>
    <xf numFmtId="0" fontId="39" fillId="0" borderId="2" xfId="0" applyFont="1" applyBorder="1" applyAlignment="1">
      <alignment wrapText="1"/>
    </xf>
    <xf numFmtId="3" fontId="39" fillId="0" borderId="2" xfId="0" applyNumberFormat="1" applyFont="1" applyBorder="1" applyAlignment="1">
      <alignment horizontal="center"/>
    </xf>
    <xf numFmtId="3" fontId="37" fillId="0" borderId="5" xfId="0" applyNumberFormat="1" applyFont="1" applyBorder="1" applyAlignment="1">
      <alignment horizontal="right"/>
    </xf>
    <xf numFmtId="49" fontId="49" fillId="0" borderId="2" xfId="0" applyNumberFormat="1" applyFont="1" applyBorder="1" applyAlignment="1">
      <alignment wrapText="1"/>
    </xf>
    <xf numFmtId="0" fontId="37" fillId="0" borderId="2" xfId="0" applyFont="1" applyBorder="1" applyAlignment="1">
      <alignment horizontal="center" wrapText="1"/>
    </xf>
    <xf numFmtId="3" fontId="37" fillId="0" borderId="4" xfId="0" applyNumberFormat="1" applyFont="1" applyBorder="1" applyAlignment="1">
      <alignment horizontal="center"/>
    </xf>
    <xf numFmtId="3" fontId="37" fillId="0" borderId="8" xfId="0" applyNumberFormat="1" applyFont="1" applyBorder="1" applyAlignment="1">
      <alignment horizontal="center"/>
    </xf>
    <xf numFmtId="4" fontId="39" fillId="0" borderId="4" xfId="0" applyNumberFormat="1" applyFont="1" applyBorder="1" applyAlignment="1">
      <alignment vertical="center" wrapText="1"/>
    </xf>
    <xf numFmtId="3" fontId="39" fillId="0" borderId="6" xfId="0" applyNumberFormat="1" applyFont="1" applyBorder="1"/>
    <xf numFmtId="49" fontId="37" fillId="0" borderId="4" xfId="0" applyNumberFormat="1" applyFont="1" applyBorder="1" applyAlignment="1">
      <alignment horizontal="center"/>
    </xf>
    <xf numFmtId="4" fontId="39" fillId="0" borderId="1" xfId="0" applyNumberFormat="1" applyFont="1" applyBorder="1" applyAlignment="1">
      <alignment vertical="center" wrapText="1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left" wrapText="1"/>
    </xf>
    <xf numFmtId="3" fontId="37" fillId="0" borderId="1" xfId="0" applyNumberFormat="1" applyFont="1" applyBorder="1" applyAlignment="1">
      <alignment horizontal="right"/>
    </xf>
    <xf numFmtId="0" fontId="39" fillId="0" borderId="1" xfId="0" applyFont="1" applyBorder="1" applyAlignment="1">
      <alignment horizontal="center"/>
    </xf>
    <xf numFmtId="4" fontId="37" fillId="0" borderId="6" xfId="0" applyNumberFormat="1" applyFont="1" applyBorder="1" applyAlignment="1">
      <alignment wrapText="1"/>
    </xf>
    <xf numFmtId="3" fontId="37" fillId="0" borderId="6" xfId="0" applyNumberFormat="1" applyFont="1" applyBorder="1" applyAlignment="1">
      <alignment horizontal="right"/>
    </xf>
    <xf numFmtId="3" fontId="37" fillId="0" borderId="11" xfId="0" applyNumberFormat="1" applyFont="1" applyBorder="1" applyAlignment="1">
      <alignment horizontal="right"/>
    </xf>
    <xf numFmtId="0" fontId="39" fillId="0" borderId="2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3" fontId="37" fillId="0" borderId="6" xfId="0" applyNumberFormat="1" applyFont="1" applyBorder="1"/>
    <xf numFmtId="0" fontId="39" fillId="0" borderId="3" xfId="0" applyFont="1" applyBorder="1" applyAlignment="1">
      <alignment horizontal="center"/>
    </xf>
    <xf numFmtId="3" fontId="37" fillId="0" borderId="3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49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 wrapText="1"/>
    </xf>
    <xf numFmtId="3" fontId="35" fillId="0" borderId="1" xfId="0" applyNumberFormat="1" applyFont="1" applyBorder="1" applyAlignment="1">
      <alignment vertical="center"/>
    </xf>
    <xf numFmtId="3" fontId="35" fillId="0" borderId="11" xfId="0" applyNumberFormat="1" applyFont="1" applyBorder="1" applyAlignment="1">
      <alignment vertical="center"/>
    </xf>
    <xf numFmtId="49" fontId="39" fillId="0" borderId="2" xfId="0" applyNumberFormat="1" applyFont="1" applyBorder="1"/>
    <xf numFmtId="3" fontId="35" fillId="0" borderId="5" xfId="0" applyNumberFormat="1" applyFont="1" applyBorder="1" applyAlignment="1">
      <alignment horizontal="right" vertical="center"/>
    </xf>
    <xf numFmtId="3" fontId="49" fillId="0" borderId="1" xfId="0" applyNumberFormat="1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4" fontId="39" fillId="0" borderId="2" xfId="0" applyNumberFormat="1" applyFont="1" applyBorder="1" applyAlignment="1">
      <alignment horizontal="center" vertical="center" wrapText="1"/>
    </xf>
    <xf numFmtId="4" fontId="37" fillId="0" borderId="2" xfId="0" applyNumberFormat="1" applyFont="1" applyBorder="1"/>
    <xf numFmtId="4" fontId="37" fillId="0" borderId="4" xfId="0" applyNumberFormat="1" applyFont="1" applyBorder="1"/>
    <xf numFmtId="4" fontId="37" fillId="0" borderId="3" xfId="0" applyNumberFormat="1" applyFont="1" applyBorder="1" applyAlignment="1">
      <alignment horizontal="center"/>
    </xf>
    <xf numFmtId="4" fontId="37" fillId="0" borderId="2" xfId="0" applyNumberFormat="1" applyFont="1" applyBorder="1" applyAlignment="1">
      <alignment wrapText="1"/>
    </xf>
    <xf numFmtId="4" fontId="37" fillId="0" borderId="1" xfId="0" applyNumberFormat="1" applyFont="1" applyBorder="1" applyAlignment="1">
      <alignment horizontal="center"/>
    </xf>
    <xf numFmtId="0" fontId="44" fillId="0" borderId="0" xfId="0" applyFont="1" applyAlignment="1">
      <alignment horizontal="center" vertical="top" wrapText="1"/>
    </xf>
    <xf numFmtId="3" fontId="28" fillId="0" borderId="0" xfId="0" applyNumberFormat="1" applyFont="1" applyAlignment="1">
      <alignment horizontal="left" wrapText="1"/>
    </xf>
    <xf numFmtId="3" fontId="28" fillId="0" borderId="0" xfId="0" applyNumberFormat="1" applyFont="1" applyAlignment="1">
      <alignment horizontal="center" wrapText="1"/>
    </xf>
    <xf numFmtId="3" fontId="28" fillId="0" borderId="0" xfId="0" applyNumberFormat="1" applyFont="1" applyAlignment="1">
      <alignment horizontal="right"/>
    </xf>
    <xf numFmtId="0" fontId="28" fillId="0" borderId="0" xfId="0" applyFont="1"/>
    <xf numFmtId="0" fontId="43" fillId="0" borderId="0" xfId="0" applyFont="1" applyAlignment="1">
      <alignment horizontal="center" vertical="top" wrapText="1"/>
    </xf>
    <xf numFmtId="3" fontId="50" fillId="0" borderId="0" xfId="0" applyNumberFormat="1" applyFont="1" applyAlignment="1">
      <alignment horizontal="left" wrapText="1"/>
    </xf>
    <xf numFmtId="3" fontId="50" fillId="0" borderId="0" xfId="0" applyNumberFormat="1" applyFont="1" applyAlignment="1">
      <alignment horizontal="center" wrapText="1"/>
    </xf>
    <xf numFmtId="3" fontId="50" fillId="0" borderId="0" xfId="0" applyNumberFormat="1" applyFont="1" applyAlignment="1">
      <alignment horizontal="right"/>
    </xf>
    <xf numFmtId="0" fontId="50" fillId="0" borderId="0" xfId="0" applyFont="1"/>
    <xf numFmtId="0" fontId="39" fillId="0" borderId="12" xfId="0" applyFont="1" applyBorder="1"/>
    <xf numFmtId="0" fontId="2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4" fontId="28" fillId="0" borderId="0" xfId="0" applyNumberFormat="1" applyFont="1"/>
    <xf numFmtId="3" fontId="25" fillId="0" borderId="2" xfId="0" applyNumberFormat="1" applyFont="1" applyBorder="1" applyAlignment="1">
      <alignment horizontal="right" vertical="center" wrapText="1"/>
    </xf>
    <xf numFmtId="3" fontId="25" fillId="0" borderId="0" xfId="0" applyNumberFormat="1" applyFont="1" applyAlignment="1">
      <alignment horizontal="right" vertical="center" wrapText="1"/>
    </xf>
    <xf numFmtId="3" fontId="31" fillId="0" borderId="0" xfId="0" applyNumberFormat="1" applyFont="1" applyAlignment="1">
      <alignment horizontal="left" wrapText="1"/>
    </xf>
    <xf numFmtId="3" fontId="31" fillId="0" borderId="0" xfId="0" applyNumberFormat="1" applyFont="1" applyAlignment="1">
      <alignment horizontal="center" wrapText="1"/>
    </xf>
    <xf numFmtId="3" fontId="31" fillId="0" borderId="0" xfId="0" applyNumberFormat="1" applyFont="1" applyAlignment="1">
      <alignment horizontal="right"/>
    </xf>
    <xf numFmtId="4" fontId="31" fillId="0" borderId="0" xfId="0" applyNumberFormat="1" applyFont="1"/>
    <xf numFmtId="0" fontId="31" fillId="0" borderId="0" xfId="0" applyFont="1"/>
    <xf numFmtId="49" fontId="25" fillId="0" borderId="2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3" fontId="31" fillId="0" borderId="2" xfId="0" applyNumberFormat="1" applyFont="1" applyBorder="1" applyAlignment="1">
      <alignment horizontal="right" vertical="center" wrapText="1"/>
    </xf>
    <xf numFmtId="3" fontId="31" fillId="0" borderId="0" xfId="0" applyNumberFormat="1" applyFont="1" applyAlignment="1">
      <alignment horizontal="righ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49" fontId="35" fillId="0" borderId="2" xfId="0" applyNumberFormat="1" applyFont="1" applyBorder="1" applyAlignment="1">
      <alignment horizontal="center" vertical="top"/>
    </xf>
    <xf numFmtId="4" fontId="35" fillId="0" borderId="2" xfId="0" applyNumberFormat="1" applyFont="1" applyBorder="1" applyAlignment="1">
      <alignment horizontal="left" vertical="top" wrapText="1"/>
    </xf>
    <xf numFmtId="3" fontId="35" fillId="5" borderId="2" xfId="0" applyNumberFormat="1" applyFont="1" applyFill="1" applyBorder="1" applyAlignment="1">
      <alignment vertical="top"/>
    </xf>
    <xf numFmtId="4" fontId="39" fillId="0" borderId="0" xfId="0" applyNumberFormat="1" applyFont="1" applyAlignment="1">
      <alignment vertical="top"/>
    </xf>
    <xf numFmtId="0" fontId="39" fillId="0" borderId="0" xfId="0" applyFont="1" applyAlignment="1">
      <alignment vertical="top"/>
    </xf>
    <xf numFmtId="3" fontId="42" fillId="6" borderId="2" xfId="0" applyNumberFormat="1" applyFont="1" applyFill="1" applyBorder="1" applyAlignment="1">
      <alignment vertical="center"/>
    </xf>
    <xf numFmtId="49" fontId="37" fillId="0" borderId="2" xfId="0" applyNumberFormat="1" applyFont="1" applyBorder="1" applyAlignment="1">
      <alignment horizontal="center" vertical="center"/>
    </xf>
    <xf numFmtId="4" fontId="37" fillId="0" borderId="2" xfId="0" applyNumberFormat="1" applyFont="1" applyBorder="1" applyAlignment="1">
      <alignment horizontal="left" vertical="center" wrapText="1"/>
    </xf>
    <xf numFmtId="4" fontId="37" fillId="0" borderId="2" xfId="0" applyNumberFormat="1" applyFont="1" applyBorder="1" applyAlignment="1">
      <alignment vertical="center" wrapText="1"/>
    </xf>
    <xf numFmtId="0" fontId="24" fillId="0" borderId="0" xfId="0" applyFont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wrapText="1"/>
    </xf>
    <xf numFmtId="0" fontId="37" fillId="0" borderId="0" xfId="0" applyFont="1" applyAlignment="1">
      <alignment wrapText="1"/>
    </xf>
    <xf numFmtId="3" fontId="37" fillId="0" borderId="0" xfId="0" applyNumberFormat="1" applyFont="1" applyAlignment="1">
      <alignment horizontal="left" vertical="top" wrapText="1"/>
    </xf>
    <xf numFmtId="0" fontId="51" fillId="0" borderId="0" xfId="0" applyFont="1" applyAlignment="1">
      <alignment wrapText="1"/>
    </xf>
    <xf numFmtId="49" fontId="48" fillId="0" borderId="0" xfId="0" applyNumberFormat="1" applyFont="1" applyAlignment="1">
      <alignment horizontal="center" wrapText="1"/>
    </xf>
    <xf numFmtId="0" fontId="48" fillId="0" borderId="0" xfId="0" applyFont="1" applyAlignment="1">
      <alignment horizontal="center" wrapText="1"/>
    </xf>
    <xf numFmtId="3" fontId="37" fillId="0" borderId="0" xfId="0" applyNumberFormat="1" applyFont="1" applyAlignment="1">
      <alignment horizontal="center" wrapText="1"/>
    </xf>
    <xf numFmtId="0" fontId="48" fillId="0" borderId="0" xfId="0" applyFont="1" applyAlignment="1">
      <alignment wrapText="1"/>
    </xf>
    <xf numFmtId="49" fontId="40" fillId="0" borderId="2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49" fontId="41" fillId="0" borderId="2" xfId="27" applyNumberFormat="1" applyFont="1" applyBorder="1" applyAlignment="1">
      <alignment horizontal="center" vertical="top"/>
    </xf>
    <xf numFmtId="0" fontId="41" fillId="0" borderId="2" xfId="27" applyFont="1" applyBorder="1" applyAlignment="1">
      <alignment horizontal="center" vertical="top"/>
    </xf>
    <xf numFmtId="0" fontId="41" fillId="0" borderId="10" xfId="28" applyFont="1" applyBorder="1" applyAlignment="1">
      <alignment vertical="top" wrapText="1"/>
    </xf>
    <xf numFmtId="3" fontId="41" fillId="0" borderId="2" xfId="27" applyNumberFormat="1" applyFont="1" applyBorder="1" applyAlignment="1">
      <alignment vertical="top"/>
    </xf>
    <xf numFmtId="0" fontId="41" fillId="0" borderId="0" xfId="27" applyFont="1" applyAlignment="1">
      <alignment vertical="top"/>
    </xf>
    <xf numFmtId="0" fontId="47" fillId="0" borderId="0" xfId="0" applyFont="1" applyAlignment="1">
      <alignment vertical="top" wrapText="1"/>
    </xf>
    <xf numFmtId="49" fontId="41" fillId="0" borderId="3" xfId="27" applyNumberFormat="1" applyFont="1" applyBorder="1" applyAlignment="1">
      <alignment horizontal="center" vertical="top"/>
    </xf>
    <xf numFmtId="0" fontId="41" fillId="0" borderId="3" xfId="27" applyFont="1" applyBorder="1" applyAlignment="1">
      <alignment horizontal="center" vertical="top"/>
    </xf>
    <xf numFmtId="0" fontId="41" fillId="0" borderId="3" xfId="27" applyFont="1" applyBorder="1" applyAlignment="1">
      <alignment vertical="top" wrapText="1"/>
    </xf>
    <xf numFmtId="3" fontId="41" fillId="0" borderId="3" xfId="27" applyNumberFormat="1" applyFont="1" applyBorder="1" applyAlignment="1">
      <alignment vertical="top"/>
    </xf>
    <xf numFmtId="49" fontId="23" fillId="0" borderId="3" xfId="27" applyNumberFormat="1" applyFont="1" applyBorder="1" applyAlignment="1">
      <alignment horizontal="center" vertical="top"/>
    </xf>
    <xf numFmtId="0" fontId="23" fillId="0" borderId="3" xfId="27" applyFont="1" applyBorder="1" applyAlignment="1">
      <alignment horizontal="center" vertical="top"/>
    </xf>
    <xf numFmtId="0" fontId="23" fillId="0" borderId="3" xfId="27" applyFont="1" applyBorder="1" applyAlignment="1">
      <alignment vertical="top" wrapText="1"/>
    </xf>
    <xf numFmtId="3" fontId="23" fillId="0" borderId="3" xfId="27" applyNumberFormat="1" applyFont="1" applyBorder="1" applyAlignment="1">
      <alignment vertical="top"/>
    </xf>
    <xf numFmtId="0" fontId="23" fillId="0" borderId="0" xfId="27" applyFont="1" applyAlignment="1">
      <alignment vertical="top"/>
    </xf>
    <xf numFmtId="0" fontId="48" fillId="0" borderId="0" xfId="0" applyFont="1" applyAlignment="1">
      <alignment vertical="top" wrapText="1"/>
    </xf>
    <xf numFmtId="49" fontId="23" fillId="0" borderId="4" xfId="27" applyNumberFormat="1" applyFont="1" applyBorder="1" applyAlignment="1">
      <alignment horizontal="center" vertical="top"/>
    </xf>
    <xf numFmtId="0" fontId="23" fillId="0" borderId="4" xfId="27" applyFont="1" applyBorder="1" applyAlignment="1">
      <alignment horizontal="center" vertical="top"/>
    </xf>
    <xf numFmtId="0" fontId="23" fillId="0" borderId="4" xfId="27" applyFont="1" applyBorder="1" applyAlignment="1">
      <alignment vertical="top" wrapText="1"/>
    </xf>
    <xf numFmtId="3" fontId="23" fillId="0" borderId="4" xfId="27" applyNumberFormat="1" applyFont="1" applyBorder="1" applyAlignment="1">
      <alignment vertical="top"/>
    </xf>
    <xf numFmtId="49" fontId="23" fillId="0" borderId="1" xfId="27" applyNumberFormat="1" applyFont="1" applyBorder="1" applyAlignment="1">
      <alignment horizontal="center" vertical="top"/>
    </xf>
    <xf numFmtId="0" fontId="23" fillId="0" borderId="1" xfId="27" applyFont="1" applyBorder="1" applyAlignment="1">
      <alignment horizontal="center" vertical="top"/>
    </xf>
    <xf numFmtId="0" fontId="23" fillId="0" borderId="1" xfId="27" applyFont="1" applyBorder="1" applyAlignment="1">
      <alignment vertical="top" wrapText="1"/>
    </xf>
    <xf numFmtId="3" fontId="23" fillId="0" borderId="1" xfId="27" applyNumberFormat="1" applyFont="1" applyBorder="1" applyAlignment="1">
      <alignment vertical="top"/>
    </xf>
    <xf numFmtId="49" fontId="47" fillId="0" borderId="0" xfId="0" applyNumberFormat="1" applyFont="1" applyAlignment="1">
      <alignment horizontal="center" wrapText="1"/>
    </xf>
    <xf numFmtId="49" fontId="48" fillId="0" borderId="0" xfId="0" applyNumberFormat="1" applyFont="1" applyAlignment="1">
      <alignment horizontal="center" vertical="top" wrapText="1"/>
    </xf>
    <xf numFmtId="3" fontId="48" fillId="0" borderId="0" xfId="0" applyNumberFormat="1" applyFont="1" applyAlignment="1">
      <alignment vertical="top" wrapText="1"/>
    </xf>
    <xf numFmtId="49" fontId="40" fillId="0" borderId="2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 wrapText="1"/>
    </xf>
    <xf numFmtId="3" fontId="39" fillId="0" borderId="2" xfId="0" applyNumberFormat="1" applyFont="1" applyBorder="1" applyAlignment="1">
      <alignment horizontal="right" vertical="center" wrapText="1"/>
    </xf>
    <xf numFmtId="49" fontId="41" fillId="0" borderId="2" xfId="27" applyNumberFormat="1" applyFont="1" applyBorder="1" applyAlignment="1">
      <alignment horizontal="center" vertical="center"/>
    </xf>
    <xf numFmtId="0" fontId="41" fillId="0" borderId="2" xfId="27" applyFont="1" applyBorder="1" applyAlignment="1">
      <alignment horizontal="center" vertical="center"/>
    </xf>
    <xf numFmtId="0" fontId="41" fillId="0" borderId="10" xfId="28" applyFont="1" applyBorder="1" applyAlignment="1">
      <alignment vertical="center" wrapText="1"/>
    </xf>
    <xf numFmtId="3" fontId="41" fillId="0" borderId="2" xfId="27" applyNumberFormat="1" applyFont="1" applyBorder="1" applyAlignment="1">
      <alignment vertical="center"/>
    </xf>
    <xf numFmtId="0" fontId="41" fillId="0" borderId="0" xfId="27" applyFont="1" applyAlignment="1">
      <alignment vertical="center"/>
    </xf>
    <xf numFmtId="0" fontId="47" fillId="0" borderId="0" xfId="0" applyFont="1" applyAlignment="1">
      <alignment vertical="center" wrapText="1"/>
    </xf>
    <xf numFmtId="49" fontId="41" fillId="0" borderId="3" xfId="27" applyNumberFormat="1" applyFont="1" applyBorder="1" applyAlignment="1">
      <alignment horizontal="center" vertical="center"/>
    </xf>
    <xf numFmtId="0" fontId="41" fillId="0" borderId="3" xfId="27" applyFont="1" applyBorder="1" applyAlignment="1">
      <alignment horizontal="center" vertical="center"/>
    </xf>
    <xf numFmtId="0" fontId="41" fillId="0" borderId="3" xfId="27" applyFont="1" applyBorder="1" applyAlignment="1">
      <alignment vertical="center" wrapText="1"/>
    </xf>
    <xf numFmtId="3" fontId="41" fillId="0" borderId="3" xfId="27" applyNumberFormat="1" applyFont="1" applyBorder="1" applyAlignment="1">
      <alignment vertical="center"/>
    </xf>
    <xf numFmtId="49" fontId="23" fillId="0" borderId="3" xfId="27" applyNumberFormat="1" applyFont="1" applyBorder="1" applyAlignment="1">
      <alignment horizontal="center" vertical="center"/>
    </xf>
    <xf numFmtId="0" fontId="23" fillId="0" borderId="3" xfId="27" applyFont="1" applyBorder="1" applyAlignment="1">
      <alignment horizontal="center" vertical="center"/>
    </xf>
    <xf numFmtId="0" fontId="23" fillId="0" borderId="3" xfId="27" applyFont="1" applyBorder="1" applyAlignment="1">
      <alignment vertical="center" wrapText="1"/>
    </xf>
    <xf numFmtId="3" fontId="23" fillId="0" borderId="3" xfId="27" applyNumberFormat="1" applyFont="1" applyBorder="1" applyAlignment="1">
      <alignment vertical="center"/>
    </xf>
    <xf numFmtId="0" fontId="23" fillId="0" borderId="0" xfId="27" applyFont="1" applyAlignment="1">
      <alignment vertical="center"/>
    </xf>
    <xf numFmtId="0" fontId="48" fillId="0" borderId="0" xfId="0" applyFont="1" applyAlignment="1">
      <alignment vertical="center" wrapText="1"/>
    </xf>
    <xf numFmtId="49" fontId="41" fillId="0" borderId="1" xfId="27" applyNumberFormat="1" applyFont="1" applyBorder="1" applyAlignment="1">
      <alignment horizontal="center" vertical="center"/>
    </xf>
    <xf numFmtId="0" fontId="41" fillId="0" borderId="1" xfId="27" applyFont="1" applyBorder="1" applyAlignment="1">
      <alignment horizontal="center" vertical="center"/>
    </xf>
    <xf numFmtId="0" fontId="41" fillId="0" borderId="1" xfId="27" applyFont="1" applyBorder="1" applyAlignment="1">
      <alignment vertical="center" wrapText="1"/>
    </xf>
    <xf numFmtId="3" fontId="41" fillId="0" borderId="1" xfId="27" applyNumberFormat="1" applyFont="1" applyBorder="1" applyAlignment="1">
      <alignment vertical="center"/>
    </xf>
    <xf numFmtId="49" fontId="23" fillId="0" borderId="1" xfId="27" applyNumberFormat="1" applyFont="1" applyBorder="1" applyAlignment="1">
      <alignment horizontal="center" vertical="center"/>
    </xf>
    <xf numFmtId="0" fontId="23" fillId="0" borderId="1" xfId="27" applyFont="1" applyBorder="1" applyAlignment="1">
      <alignment horizontal="center" vertical="center"/>
    </xf>
    <xf numFmtId="0" fontId="23" fillId="0" borderId="1" xfId="27" applyFont="1" applyBorder="1" applyAlignment="1">
      <alignment vertical="center" wrapText="1"/>
    </xf>
    <xf numFmtId="3" fontId="23" fillId="0" borderId="1" xfId="27" applyNumberFormat="1" applyFont="1" applyBorder="1" applyAlignment="1">
      <alignment vertical="center"/>
    </xf>
    <xf numFmtId="49" fontId="23" fillId="0" borderId="4" xfId="27" applyNumberFormat="1" applyFont="1" applyBorder="1" applyAlignment="1">
      <alignment horizontal="center" vertical="center"/>
    </xf>
    <xf numFmtId="0" fontId="23" fillId="0" borderId="4" xfId="27" applyFont="1" applyBorder="1" applyAlignment="1">
      <alignment horizontal="center" vertical="center"/>
    </xf>
    <xf numFmtId="0" fontId="23" fillId="0" borderId="4" xfId="27" applyFont="1" applyBorder="1" applyAlignment="1">
      <alignment vertical="center" wrapText="1"/>
    </xf>
    <xf numFmtId="3" fontId="23" fillId="0" borderId="4" xfId="27" applyNumberFormat="1" applyFont="1" applyBorder="1" applyAlignment="1">
      <alignment vertical="center"/>
    </xf>
    <xf numFmtId="49" fontId="41" fillId="0" borderId="4" xfId="27" applyNumberFormat="1" applyFont="1" applyBorder="1" applyAlignment="1">
      <alignment horizontal="center" vertical="center"/>
    </xf>
    <xf numFmtId="0" fontId="41" fillId="0" borderId="4" xfId="27" applyFont="1" applyBorder="1" applyAlignment="1">
      <alignment horizontal="center" vertical="center"/>
    </xf>
    <xf numFmtId="0" fontId="41" fillId="0" borderId="4" xfId="27" applyFont="1" applyBorder="1" applyAlignment="1">
      <alignment vertical="center" wrapText="1"/>
    </xf>
    <xf numFmtId="3" fontId="41" fillId="0" borderId="4" xfId="27" applyNumberFormat="1" applyFont="1" applyBorder="1" applyAlignment="1">
      <alignment vertical="center"/>
    </xf>
    <xf numFmtId="49" fontId="23" fillId="0" borderId="2" xfId="27" applyNumberFormat="1" applyFont="1" applyBorder="1" applyAlignment="1">
      <alignment horizontal="center" vertical="center"/>
    </xf>
    <xf numFmtId="0" fontId="23" fillId="0" borderId="2" xfId="27" applyFont="1" applyBorder="1" applyAlignment="1">
      <alignment horizontal="center" vertical="center"/>
    </xf>
    <xf numFmtId="0" fontId="23" fillId="0" borderId="2" xfId="27" applyFont="1" applyBorder="1" applyAlignment="1">
      <alignment vertical="center" wrapText="1"/>
    </xf>
    <xf numFmtId="3" fontId="23" fillId="0" borderId="2" xfId="27" applyNumberFormat="1" applyFont="1" applyBorder="1" applyAlignment="1">
      <alignment vertical="center"/>
    </xf>
    <xf numFmtId="0" fontId="22" fillId="0" borderId="0" xfId="29" applyFont="1" applyAlignment="1">
      <alignment wrapText="1"/>
    </xf>
    <xf numFmtId="0" fontId="22" fillId="0" borderId="0" xfId="29" applyFont="1" applyAlignment="1">
      <alignment horizontal="left" wrapText="1"/>
    </xf>
    <xf numFmtId="0" fontId="53" fillId="0" borderId="0" xfId="29" applyFont="1" applyAlignment="1">
      <alignment horizontal="left" wrapText="1"/>
    </xf>
    <xf numFmtId="0" fontId="53" fillId="0" borderId="0" xfId="29" applyFont="1" applyAlignment="1">
      <alignment wrapText="1"/>
    </xf>
    <xf numFmtId="0" fontId="22" fillId="0" borderId="0" xfId="30" applyFont="1" applyAlignment="1">
      <alignment horizontal="left" vertical="center" wrapText="1"/>
    </xf>
    <xf numFmtId="0" fontId="53" fillId="0" borderId="0" xfId="30" applyFont="1" applyAlignment="1">
      <alignment horizontal="left" vertical="center" wrapText="1"/>
    </xf>
    <xf numFmtId="0" fontId="24" fillId="0" borderId="0" xfId="29" applyFont="1" applyAlignment="1">
      <alignment horizontal="center" wrapText="1"/>
    </xf>
    <xf numFmtId="0" fontId="53" fillId="0" borderId="0" xfId="30" applyFont="1" applyAlignment="1">
      <alignment wrapText="1"/>
    </xf>
    <xf numFmtId="0" fontId="54" fillId="0" borderId="0" xfId="29" applyFont="1" applyAlignment="1">
      <alignment wrapText="1"/>
    </xf>
    <xf numFmtId="0" fontId="55" fillId="0" borderId="0" xfId="29" applyFont="1" applyAlignment="1">
      <alignment horizontal="center" vertical="center" wrapText="1"/>
    </xf>
    <xf numFmtId="0" fontId="28" fillId="0" borderId="2" xfId="29" applyFont="1" applyBorder="1" applyAlignment="1">
      <alignment horizontal="center" vertical="center" wrapText="1"/>
    </xf>
    <xf numFmtId="0" fontId="28" fillId="0" borderId="5" xfId="29" applyFont="1" applyBorder="1" applyAlignment="1">
      <alignment horizontal="center" vertical="center" wrapText="1"/>
    </xf>
    <xf numFmtId="0" fontId="56" fillId="0" borderId="0" xfId="29" applyFont="1" applyAlignment="1">
      <alignment wrapText="1"/>
    </xf>
    <xf numFmtId="0" fontId="28" fillId="0" borderId="14" xfId="29" applyFont="1" applyBorder="1" applyAlignment="1">
      <alignment wrapText="1"/>
    </xf>
    <xf numFmtId="0" fontId="28" fillId="0" borderId="0" xfId="29" applyFont="1" applyAlignment="1">
      <alignment wrapText="1"/>
    </xf>
    <xf numFmtId="0" fontId="28" fillId="0" borderId="3" xfId="29" applyFont="1" applyBorder="1" applyAlignment="1">
      <alignment wrapText="1"/>
    </xf>
    <xf numFmtId="0" fontId="30" fillId="0" borderId="2" xfId="29" applyFont="1" applyBorder="1" applyAlignment="1">
      <alignment horizontal="center" vertical="center" wrapText="1"/>
    </xf>
    <xf numFmtId="0" fontId="30" fillId="0" borderId="2" xfId="29" applyFont="1" applyBorder="1" applyAlignment="1">
      <alignment vertical="center" wrapText="1"/>
    </xf>
    <xf numFmtId="3" fontId="30" fillId="0" borderId="2" xfId="29" applyNumberFormat="1" applyFont="1" applyBorder="1" applyAlignment="1">
      <alignment vertical="center" wrapText="1"/>
    </xf>
    <xf numFmtId="0" fontId="57" fillId="0" borderId="0" xfId="29" applyFont="1" applyAlignment="1">
      <alignment wrapText="1"/>
    </xf>
    <xf numFmtId="0" fontId="58" fillId="0" borderId="2" xfId="29" applyFont="1" applyBorder="1" applyAlignment="1">
      <alignment horizontal="center" vertical="center" wrapText="1"/>
    </xf>
    <xf numFmtId="0" fontId="58" fillId="0" borderId="2" xfId="29" applyFont="1" applyBorder="1" applyAlignment="1">
      <alignment vertical="center" wrapText="1"/>
    </xf>
    <xf numFmtId="3" fontId="58" fillId="0" borderId="2" xfId="29" applyNumberFormat="1" applyFont="1" applyBorder="1" applyAlignment="1">
      <alignment vertical="center" wrapText="1"/>
    </xf>
    <xf numFmtId="0" fontId="59" fillId="0" borderId="0" xfId="29" applyFont="1" applyAlignment="1">
      <alignment wrapText="1"/>
    </xf>
    <xf numFmtId="49" fontId="22" fillId="0" borderId="4" xfId="29" applyNumberFormat="1" applyFont="1" applyBorder="1" applyAlignment="1">
      <alignment horizontal="center" vertical="center" wrapText="1"/>
    </xf>
    <xf numFmtId="0" fontId="22" fillId="0" borderId="15" xfId="29" applyFont="1" applyBorder="1" applyAlignment="1">
      <alignment horizontal="center" vertical="center" wrapText="1"/>
    </xf>
    <xf numFmtId="0" fontId="22" fillId="0" borderId="8" xfId="29" applyFont="1" applyBorder="1" applyAlignment="1">
      <alignment vertical="center" wrapText="1"/>
    </xf>
    <xf numFmtId="3" fontId="22" fillId="0" borderId="2" xfId="29" applyNumberFormat="1" applyFont="1" applyBorder="1" applyAlignment="1">
      <alignment vertical="center" wrapText="1"/>
    </xf>
    <xf numFmtId="0" fontId="60" fillId="0" borderId="0" xfId="29" applyFont="1" applyAlignment="1">
      <alignment vertical="top" wrapText="1"/>
    </xf>
    <xf numFmtId="49" fontId="28" fillId="0" borderId="4" xfId="29" applyNumberFormat="1" applyFont="1" applyBorder="1" applyAlignment="1">
      <alignment horizontal="center" vertical="center" wrapText="1"/>
    </xf>
    <xf numFmtId="0" fontId="28" fillId="0" borderId="15" xfId="29" applyFont="1" applyBorder="1" applyAlignment="1">
      <alignment horizontal="center" vertical="center" wrapText="1"/>
    </xf>
    <xf numFmtId="0" fontId="28" fillId="0" borderId="8" xfId="29" applyFont="1" applyBorder="1" applyAlignment="1">
      <alignment vertical="center" wrapText="1"/>
    </xf>
    <xf numFmtId="3" fontId="28" fillId="0" borderId="2" xfId="29" applyNumberFormat="1" applyFont="1" applyBorder="1" applyAlignment="1">
      <alignment vertical="center" wrapText="1"/>
    </xf>
    <xf numFmtId="0" fontId="56" fillId="0" borderId="0" xfId="29" applyFont="1" applyAlignment="1">
      <alignment vertical="top" wrapText="1"/>
    </xf>
    <xf numFmtId="49" fontId="28" fillId="0" borderId="2" xfId="29" applyNumberFormat="1" applyFont="1" applyBorder="1" applyAlignment="1">
      <alignment horizontal="center" vertical="center" wrapText="1"/>
    </xf>
    <xf numFmtId="49" fontId="22" fillId="0" borderId="2" xfId="29" applyNumberFormat="1" applyFont="1" applyBorder="1" applyAlignment="1">
      <alignment horizontal="center" vertical="center" wrapText="1"/>
    </xf>
    <xf numFmtId="0" fontId="22" fillId="0" borderId="2" xfId="29" applyFont="1" applyBorder="1" applyAlignment="1">
      <alignment horizontal="center" vertical="center" wrapText="1"/>
    </xf>
    <xf numFmtId="0" fontId="22" fillId="0" borderId="2" xfId="29" applyFont="1" applyBorder="1" applyAlignment="1">
      <alignment vertical="center" wrapText="1"/>
    </xf>
    <xf numFmtId="0" fontId="28" fillId="0" borderId="2" xfId="29" applyFont="1" applyBorder="1" applyAlignment="1">
      <alignment vertical="center" wrapText="1"/>
    </xf>
    <xf numFmtId="0" fontId="31" fillId="0" borderId="2" xfId="29" applyFont="1" applyBorder="1" applyAlignment="1">
      <alignment horizontal="center" vertical="center" wrapText="1"/>
    </xf>
    <xf numFmtId="0" fontId="31" fillId="0" borderId="2" xfId="29" applyFont="1" applyBorder="1" applyAlignment="1">
      <alignment vertical="center" wrapText="1"/>
    </xf>
    <xf numFmtId="0" fontId="61" fillId="0" borderId="0" xfId="29" applyFont="1" applyAlignment="1">
      <alignment wrapText="1"/>
    </xf>
    <xf numFmtId="0" fontId="22" fillId="0" borderId="14" xfId="29" applyFont="1" applyBorder="1" applyAlignment="1">
      <alignment horizontal="center" vertical="center" wrapText="1"/>
    </xf>
    <xf numFmtId="0" fontId="22" fillId="0" borderId="0" xfId="29" applyFont="1" applyAlignment="1">
      <alignment horizontal="center" vertical="center" wrapText="1"/>
    </xf>
    <xf numFmtId="0" fontId="22" fillId="0" borderId="0" xfId="29" applyFont="1" applyAlignment="1">
      <alignment vertical="center" wrapText="1"/>
    </xf>
    <xf numFmtId="3" fontId="28" fillId="0" borderId="3" xfId="29" applyNumberFormat="1" applyFont="1" applyBorder="1" applyAlignment="1">
      <alignment vertical="center" wrapText="1"/>
    </xf>
    <xf numFmtId="0" fontId="62" fillId="0" borderId="0" xfId="29" applyFont="1" applyAlignment="1">
      <alignment wrapText="1"/>
    </xf>
    <xf numFmtId="0" fontId="50" fillId="0" borderId="2" xfId="29" applyFont="1" applyBorder="1" applyAlignment="1">
      <alignment horizontal="center" vertical="center" wrapText="1"/>
    </xf>
    <xf numFmtId="0" fontId="50" fillId="0" borderId="2" xfId="29" applyFont="1" applyBorder="1" applyAlignment="1">
      <alignment vertical="center" wrapText="1"/>
    </xf>
    <xf numFmtId="3" fontId="50" fillId="0" borderId="2" xfId="29" applyNumberFormat="1" applyFont="1" applyBorder="1" applyAlignment="1">
      <alignment vertical="center" wrapText="1"/>
    </xf>
    <xf numFmtId="0" fontId="63" fillId="0" borderId="0" xfId="29" applyFont="1" applyAlignment="1">
      <alignment wrapText="1"/>
    </xf>
    <xf numFmtId="0" fontId="31" fillId="0" borderId="14" xfId="29" applyFont="1" applyBorder="1" applyAlignment="1">
      <alignment horizontal="center" vertical="center" wrapText="1"/>
    </xf>
    <xf numFmtId="0" fontId="31" fillId="0" borderId="0" xfId="29" applyFont="1" applyAlignment="1">
      <alignment horizontal="center" vertical="center" wrapText="1"/>
    </xf>
    <xf numFmtId="0" fontId="31" fillId="0" borderId="0" xfId="29" applyFont="1" applyAlignment="1">
      <alignment vertical="center" wrapText="1"/>
    </xf>
    <xf numFmtId="3" fontId="30" fillId="0" borderId="3" xfId="29" applyNumberFormat="1" applyFont="1" applyBorder="1" applyAlignment="1">
      <alignment vertical="center" wrapText="1"/>
    </xf>
    <xf numFmtId="0" fontId="30" fillId="0" borderId="14" xfId="29" applyFont="1" applyBorder="1" applyAlignment="1">
      <alignment horizontal="center" vertical="center" wrapText="1"/>
    </xf>
    <xf numFmtId="0" fontId="30" fillId="0" borderId="0" xfId="29" applyFont="1" applyAlignment="1">
      <alignment horizontal="center" vertical="center" wrapText="1"/>
    </xf>
    <xf numFmtId="0" fontId="30" fillId="0" borderId="0" xfId="29" applyFont="1" applyAlignment="1">
      <alignment vertical="center" wrapText="1"/>
    </xf>
    <xf numFmtId="0" fontId="30" fillId="0" borderId="4" xfId="29" applyFont="1" applyBorder="1" applyAlignment="1">
      <alignment horizontal="center" vertical="center" wrapText="1"/>
    </xf>
    <xf numFmtId="0" fontId="30" fillId="0" borderId="4" xfId="29" applyFont="1" applyBorder="1" applyAlignment="1">
      <alignment vertical="center" wrapText="1"/>
    </xf>
    <xf numFmtId="3" fontId="30" fillId="0" borderId="4" xfId="29" applyNumberFormat="1" applyFont="1" applyBorder="1" applyAlignment="1">
      <alignment vertical="center" wrapText="1"/>
    </xf>
    <xf numFmtId="3" fontId="43" fillId="0" borderId="4" xfId="29" applyNumberFormat="1" applyFont="1" applyBorder="1" applyAlignment="1">
      <alignment vertical="center" wrapText="1"/>
    </xf>
    <xf numFmtId="0" fontId="64" fillId="0" borderId="0" xfId="29" applyFont="1" applyAlignment="1">
      <alignment wrapText="1"/>
    </xf>
    <xf numFmtId="3" fontId="50" fillId="0" borderId="4" xfId="29" applyNumberFormat="1" applyFont="1" applyBorder="1" applyAlignment="1">
      <alignment vertical="center" wrapText="1"/>
    </xf>
    <xf numFmtId="0" fontId="65" fillId="0" borderId="0" xfId="29" applyFont="1" applyAlignment="1">
      <alignment wrapText="1"/>
    </xf>
    <xf numFmtId="49" fontId="22" fillId="0" borderId="3" xfId="29" applyNumberFormat="1" applyFont="1" applyBorder="1" applyAlignment="1">
      <alignment horizontal="center" vertical="center" wrapText="1"/>
    </xf>
    <xf numFmtId="0" fontId="22" fillId="0" borderId="3" xfId="29" applyFont="1" applyBorder="1" applyAlignment="1">
      <alignment horizontal="center" vertical="center" wrapText="1"/>
    </xf>
    <xf numFmtId="0" fontId="22" fillId="0" borderId="14" xfId="29" applyFont="1" applyBorder="1" applyAlignment="1">
      <alignment vertical="center" wrapText="1"/>
    </xf>
    <xf numFmtId="0" fontId="22" fillId="0" borderId="8" xfId="29" applyFont="1" applyBorder="1" applyAlignment="1">
      <alignment wrapText="1"/>
    </xf>
    <xf numFmtId="0" fontId="22" fillId="0" borderId="9" xfId="29" applyFont="1" applyBorder="1" applyAlignment="1">
      <alignment wrapText="1"/>
    </xf>
    <xf numFmtId="0" fontId="22" fillId="0" borderId="15" xfId="29" applyFont="1" applyBorder="1" applyAlignment="1">
      <alignment wrapText="1"/>
    </xf>
    <xf numFmtId="0" fontId="22" fillId="0" borderId="4" xfId="29" applyFont="1" applyBorder="1" applyAlignment="1">
      <alignment wrapText="1"/>
    </xf>
    <xf numFmtId="0" fontId="31" fillId="0" borderId="3" xfId="29" applyFont="1" applyBorder="1" applyAlignment="1">
      <alignment wrapText="1"/>
    </xf>
    <xf numFmtId="3" fontId="22" fillId="0" borderId="3" xfId="29" applyNumberFormat="1" applyFont="1" applyBorder="1" applyAlignment="1">
      <alignment wrapText="1"/>
    </xf>
    <xf numFmtId="3" fontId="31" fillId="0" borderId="3" xfId="29" applyNumberFormat="1" applyFont="1" applyBorder="1" applyAlignment="1">
      <alignment wrapText="1"/>
    </xf>
    <xf numFmtId="0" fontId="25" fillId="0" borderId="8" xfId="29" applyFont="1" applyBorder="1" applyAlignment="1">
      <alignment wrapText="1"/>
    </xf>
    <xf numFmtId="0" fontId="25" fillId="0" borderId="9" xfId="29" applyFont="1" applyBorder="1" applyAlignment="1">
      <alignment wrapText="1"/>
    </xf>
    <xf numFmtId="0" fontId="25" fillId="0" borderId="15" xfId="29" applyFont="1" applyBorder="1" applyAlignment="1">
      <alignment wrapText="1"/>
    </xf>
    <xf numFmtId="3" fontId="25" fillId="0" borderId="4" xfId="29" applyNumberFormat="1" applyFont="1" applyBorder="1" applyAlignment="1">
      <alignment wrapText="1"/>
    </xf>
    <xf numFmtId="3" fontId="25" fillId="0" borderId="3" xfId="29" applyNumberFormat="1" applyFont="1" applyBorder="1" applyAlignment="1">
      <alignment wrapText="1"/>
    </xf>
    <xf numFmtId="3" fontId="22" fillId="0" borderId="1" xfId="29" applyNumberFormat="1" applyFont="1" applyBorder="1" applyAlignment="1">
      <alignment wrapText="1"/>
    </xf>
    <xf numFmtId="0" fontId="53" fillId="0" borderId="29" xfId="29" applyFont="1" applyBorder="1" applyAlignment="1">
      <alignment wrapText="1"/>
    </xf>
    <xf numFmtId="0" fontId="53" fillId="0" borderId="30" xfId="29" applyFont="1" applyBorder="1" applyAlignment="1">
      <alignment wrapText="1"/>
    </xf>
    <xf numFmtId="0" fontId="53" fillId="0" borderId="31" xfId="29" applyFont="1" applyBorder="1" applyAlignment="1">
      <alignment wrapText="1"/>
    </xf>
    <xf numFmtId="0" fontId="53" fillId="0" borderId="32" xfId="29" applyFont="1" applyBorder="1" applyAlignment="1">
      <alignment wrapText="1"/>
    </xf>
    <xf numFmtId="0" fontId="22" fillId="0" borderId="0" xfId="30" applyFont="1" applyAlignment="1">
      <alignment horizontal="center" vertical="center" wrapText="1"/>
    </xf>
    <xf numFmtId="0" fontId="53" fillId="0" borderId="0" xfId="30" applyFont="1" applyAlignment="1">
      <alignment vertical="center" wrapText="1"/>
    </xf>
    <xf numFmtId="0" fontId="22" fillId="0" borderId="0" xfId="31" applyFont="1" applyAlignment="1">
      <alignment horizontal="center"/>
    </xf>
    <xf numFmtId="0" fontId="22" fillId="0" borderId="0" xfId="31" applyFont="1"/>
    <xf numFmtId="0" fontId="29" fillId="0" borderId="2" xfId="31" applyFont="1" applyBorder="1" applyAlignment="1">
      <alignment horizontal="center"/>
    </xf>
    <xf numFmtId="0" fontId="29" fillId="0" borderId="0" xfId="31" applyFont="1" applyAlignment="1">
      <alignment horizontal="center"/>
    </xf>
    <xf numFmtId="0" fontId="22" fillId="0" borderId="0" xfId="31" applyFont="1" applyAlignment="1">
      <alignment vertical="center"/>
    </xf>
    <xf numFmtId="0" fontId="24" fillId="0" borderId="0" xfId="31" applyFont="1"/>
    <xf numFmtId="3" fontId="22" fillId="0" borderId="2" xfId="31" applyNumberFormat="1" applyFont="1" applyBorder="1" applyAlignment="1">
      <alignment horizontal="center" vertical="center" wrapText="1"/>
    </xf>
    <xf numFmtId="0" fontId="36" fillId="0" borderId="0" xfId="32" applyFont="1"/>
    <xf numFmtId="0" fontId="25" fillId="0" borderId="0" xfId="31" applyFont="1" applyAlignment="1">
      <alignment horizontal="right" vertical="center"/>
    </xf>
    <xf numFmtId="0" fontId="22" fillId="0" borderId="0" xfId="31" applyFont="1" applyAlignment="1">
      <alignment horizontal="right"/>
    </xf>
    <xf numFmtId="3" fontId="32" fillId="0" borderId="2" xfId="31" applyNumberFormat="1" applyFont="1" applyBorder="1" applyAlignment="1">
      <alignment horizontal="center" vertical="center" wrapText="1"/>
    </xf>
    <xf numFmtId="0" fontId="32" fillId="0" borderId="0" xfId="31" applyFont="1" applyAlignment="1">
      <alignment horizontal="right" vertical="center"/>
    </xf>
    <xf numFmtId="0" fontId="32" fillId="0" borderId="0" xfId="31" applyFont="1" applyAlignment="1">
      <alignment horizontal="right"/>
    </xf>
    <xf numFmtId="0" fontId="24" fillId="0" borderId="0" xfId="31" applyFont="1" applyAlignment="1">
      <alignment horizontal="center" vertical="center"/>
    </xf>
    <xf numFmtId="0" fontId="22" fillId="0" borderId="0" xfId="31" applyFont="1" applyAlignment="1">
      <alignment horizontal="center" vertical="center"/>
    </xf>
    <xf numFmtId="3" fontId="22" fillId="0" borderId="2" xfId="31" applyNumberFormat="1" applyFont="1" applyBorder="1" applyAlignment="1">
      <alignment horizontal="right" vertical="center" wrapText="1"/>
    </xf>
    <xf numFmtId="0" fontId="36" fillId="0" borderId="0" xfId="34" applyFont="1" applyAlignment="1">
      <alignment vertical="center"/>
    </xf>
    <xf numFmtId="3" fontId="25" fillId="0" borderId="2" xfId="31" applyNumberFormat="1" applyFont="1" applyBorder="1" applyAlignment="1">
      <alignment horizontal="right" vertical="center"/>
    </xf>
    <xf numFmtId="0" fontId="35" fillId="0" borderId="0" xfId="34" applyFont="1" applyAlignment="1">
      <alignment vertical="center"/>
    </xf>
    <xf numFmtId="0" fontId="36" fillId="0" borderId="0" xfId="34" applyFont="1"/>
    <xf numFmtId="3" fontId="25" fillId="0" borderId="0" xfId="31" applyNumberFormat="1" applyFont="1" applyAlignment="1">
      <alignment horizontal="right" vertical="center"/>
    </xf>
    <xf numFmtId="0" fontId="24" fillId="0" borderId="0" xfId="31" applyFont="1" applyAlignment="1">
      <alignment horizontal="center"/>
    </xf>
    <xf numFmtId="49" fontId="22" fillId="0" borderId="2" xfId="0" applyNumberFormat="1" applyFont="1" applyBorder="1" applyAlignment="1">
      <alignment horizontal="center" vertical="top"/>
    </xf>
    <xf numFmtId="0" fontId="22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center" vertical="top"/>
    </xf>
    <xf numFmtId="3" fontId="22" fillId="0" borderId="2" xfId="0" applyNumberFormat="1" applyFont="1" applyBorder="1" applyAlignment="1">
      <alignment vertical="top"/>
    </xf>
    <xf numFmtId="3" fontId="22" fillId="0" borderId="2" xfId="0" applyNumberFormat="1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5" fillId="0" borderId="2" xfId="0" applyNumberFormat="1" applyFont="1" applyBorder="1" applyAlignment="1">
      <alignment horizontal="center" vertical="top"/>
    </xf>
    <xf numFmtId="0" fontId="25" fillId="0" borderId="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center" vertical="top"/>
    </xf>
    <xf numFmtId="3" fontId="25" fillId="0" borderId="2" xfId="0" applyNumberFormat="1" applyFont="1" applyBorder="1" applyAlignment="1">
      <alignment horizontal="right" vertical="top"/>
    </xf>
    <xf numFmtId="3" fontId="25" fillId="0" borderId="2" xfId="0" applyNumberFormat="1" applyFont="1" applyBorder="1" applyAlignment="1">
      <alignment horizontal="center" vertical="top"/>
    </xf>
    <xf numFmtId="0" fontId="25" fillId="0" borderId="0" xfId="0" applyFont="1" applyAlignment="1">
      <alignment vertical="top"/>
    </xf>
    <xf numFmtId="3" fontId="22" fillId="0" borderId="2" xfId="0" applyNumberFormat="1" applyFont="1" applyBorder="1" applyAlignment="1">
      <alignment horizontal="right" vertical="top"/>
    </xf>
    <xf numFmtId="0" fontId="22" fillId="0" borderId="2" xfId="0" applyFont="1" applyBorder="1" applyAlignment="1">
      <alignment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2" fontId="22" fillId="0" borderId="2" xfId="16" applyNumberFormat="1" applyFont="1" applyBorder="1" applyAlignment="1">
      <alignment horizontal="center" vertical="top" wrapText="1"/>
    </xf>
    <xf numFmtId="2" fontId="22" fillId="0" borderId="6" xfId="16" applyNumberFormat="1" applyFont="1" applyBorder="1" applyAlignment="1">
      <alignment horizontal="center" vertical="top" wrapText="1"/>
    </xf>
    <xf numFmtId="49" fontId="39" fillId="0" borderId="2" xfId="0" applyNumberFormat="1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3" fontId="39" fillId="0" borderId="2" xfId="0" applyNumberFormat="1" applyFont="1" applyBorder="1" applyAlignment="1">
      <alignment horizontal="center" vertical="top" wrapText="1"/>
    </xf>
    <xf numFmtId="49" fontId="40" fillId="0" borderId="2" xfId="0" applyNumberFormat="1" applyFont="1" applyBorder="1" applyAlignment="1">
      <alignment horizontal="center" vertical="top"/>
    </xf>
    <xf numFmtId="0" fontId="40" fillId="0" borderId="2" xfId="0" applyFont="1" applyBorder="1" applyAlignment="1">
      <alignment horizontal="center" vertical="top"/>
    </xf>
    <xf numFmtId="3" fontId="40" fillId="6" borderId="2" xfId="0" applyNumberFormat="1" applyFont="1" applyFill="1" applyBorder="1" applyAlignment="1">
      <alignment horizontal="center" vertical="top"/>
    </xf>
    <xf numFmtId="3" fontId="40" fillId="0" borderId="2" xfId="0" applyNumberFormat="1" applyFont="1" applyBorder="1" applyAlignment="1">
      <alignment horizontal="center" vertical="top"/>
    </xf>
    <xf numFmtId="0" fontId="47" fillId="0" borderId="0" xfId="0" applyFont="1" applyAlignment="1">
      <alignment horizontal="center" vertical="top" wrapText="1"/>
    </xf>
    <xf numFmtId="0" fontId="25" fillId="0" borderId="2" xfId="31" applyFont="1" applyBorder="1" applyAlignment="1">
      <alignment horizontal="center" vertical="top" wrapText="1"/>
    </xf>
    <xf numFmtId="3" fontId="22" fillId="0" borderId="0" xfId="17" applyNumberFormat="1" applyFont="1" applyAlignment="1">
      <alignment horizontal="left" vertical="center" wrapText="1"/>
    </xf>
    <xf numFmtId="0" fontId="22" fillId="0" borderId="0" xfId="17" applyFont="1" applyAlignment="1">
      <alignment vertical="center" wrapText="1"/>
    </xf>
    <xf numFmtId="0" fontId="22" fillId="0" borderId="0" xfId="17" applyFont="1" applyAlignment="1">
      <alignment horizontal="center" vertical="center"/>
    </xf>
    <xf numFmtId="0" fontId="22" fillId="0" borderId="0" xfId="17" applyFont="1" applyAlignment="1">
      <alignment horizontal="center" vertical="center" wrapText="1"/>
    </xf>
    <xf numFmtId="0" fontId="43" fillId="0" borderId="0" xfId="17" applyFont="1" applyAlignment="1">
      <alignment vertical="center" wrapText="1"/>
    </xf>
    <xf numFmtId="0" fontId="25" fillId="0" borderId="0" xfId="17" applyFont="1" applyAlignment="1">
      <alignment vertical="center"/>
    </xf>
    <xf numFmtId="3" fontId="30" fillId="0" borderId="10" xfId="17" applyNumberFormat="1" applyFont="1" applyBorder="1" applyAlignment="1">
      <alignment horizontal="center" vertical="top" wrapText="1"/>
    </xf>
    <xf numFmtId="3" fontId="30" fillId="0" borderId="6" xfId="17" applyNumberFormat="1" applyFont="1" applyBorder="1" applyAlignment="1">
      <alignment horizontal="center" vertical="top" wrapText="1"/>
    </xf>
    <xf numFmtId="0" fontId="30" fillId="0" borderId="4" xfId="17" applyFont="1" applyBorder="1" applyAlignment="1">
      <alignment horizontal="center" vertical="top" wrapText="1"/>
    </xf>
    <xf numFmtId="0" fontId="30" fillId="0" borderId="1" xfId="17" applyFont="1" applyBorder="1" applyAlignment="1">
      <alignment horizontal="center" vertical="top" wrapText="1"/>
    </xf>
    <xf numFmtId="3" fontId="30" fillId="0" borderId="2" xfId="17" applyNumberFormat="1" applyFont="1" applyBorder="1" applyAlignment="1">
      <alignment horizontal="center" vertical="top" wrapText="1"/>
    </xf>
    <xf numFmtId="0" fontId="26" fillId="0" borderId="2" xfId="17" applyFont="1" applyBorder="1" applyAlignment="1">
      <alignment horizontal="center" vertical="center" wrapText="1"/>
    </xf>
    <xf numFmtId="3" fontId="26" fillId="0" borderId="2" xfId="17" applyNumberFormat="1" applyFont="1" applyBorder="1" applyAlignment="1">
      <alignment horizontal="center" vertical="center" wrapText="1"/>
    </xf>
    <xf numFmtId="0" fontId="26" fillId="0" borderId="0" xfId="17" applyFont="1" applyAlignment="1">
      <alignment horizontal="center" vertical="center"/>
    </xf>
    <xf numFmtId="0" fontId="74" fillId="0" borderId="14" xfId="17" applyFont="1" applyBorder="1" applyAlignment="1">
      <alignment horizontal="center" vertical="center"/>
    </xf>
    <xf numFmtId="0" fontId="74" fillId="0" borderId="9" xfId="17" applyFont="1" applyBorder="1" applyAlignment="1">
      <alignment horizontal="center" vertical="center"/>
    </xf>
    <xf numFmtId="0" fontId="74" fillId="0" borderId="9" xfId="17" applyFont="1" applyBorder="1" applyAlignment="1">
      <alignment horizontal="center" vertical="center" wrapText="1"/>
    </xf>
    <xf numFmtId="0" fontId="58" fillId="0" borderId="9" xfId="17" applyFont="1" applyBorder="1" applyAlignment="1">
      <alignment horizontal="center" vertical="center" wrapText="1"/>
    </xf>
    <xf numFmtId="3" fontId="74" fillId="0" borderId="9" xfId="17" applyNumberFormat="1" applyFont="1" applyBorder="1" applyAlignment="1">
      <alignment horizontal="center" vertical="center" wrapText="1"/>
    </xf>
    <xf numFmtId="3" fontId="74" fillId="0" borderId="15" xfId="17" applyNumberFormat="1" applyFont="1" applyBorder="1" applyAlignment="1">
      <alignment horizontal="center" vertical="center" wrapText="1"/>
    </xf>
    <xf numFmtId="0" fontId="74" fillId="0" borderId="0" xfId="17" applyFont="1" applyAlignment="1">
      <alignment horizontal="center" vertical="center"/>
    </xf>
    <xf numFmtId="3" fontId="44" fillId="0" borderId="6" xfId="17" applyNumberFormat="1" applyFont="1" applyBorder="1" applyAlignment="1">
      <alignment horizontal="right" vertical="center" wrapText="1"/>
    </xf>
    <xf numFmtId="3" fontId="44" fillId="0" borderId="2" xfId="17" applyNumberFormat="1" applyFont="1" applyBorder="1" applyAlignment="1">
      <alignment horizontal="right" vertical="center" wrapText="1"/>
    </xf>
    <xf numFmtId="0" fontId="44" fillId="0" borderId="0" xfId="17" applyFont="1" applyAlignment="1">
      <alignment horizontal="center" vertical="center"/>
    </xf>
    <xf numFmtId="0" fontId="74" fillId="0" borderId="14" xfId="17" applyFont="1" applyBorder="1" applyAlignment="1">
      <alignment horizontal="center"/>
    </xf>
    <xf numFmtId="0" fontId="74" fillId="0" borderId="0" xfId="17" applyFont="1" applyAlignment="1">
      <alignment horizontal="center"/>
    </xf>
    <xf numFmtId="0" fontId="74" fillId="0" borderId="0" xfId="17" applyFont="1" applyAlignment="1">
      <alignment horizontal="center" wrapText="1"/>
    </xf>
    <xf numFmtId="0" fontId="74" fillId="0" borderId="0" xfId="17" applyFont="1" applyAlignment="1">
      <alignment horizontal="left" wrapText="1"/>
    </xf>
    <xf numFmtId="0" fontId="58" fillId="0" borderId="0" xfId="17" applyFont="1" applyAlignment="1">
      <alignment horizontal="center" wrapText="1"/>
    </xf>
    <xf numFmtId="3" fontId="74" fillId="0" borderId="0" xfId="17" applyNumberFormat="1" applyFont="1" applyAlignment="1">
      <alignment horizontal="center" wrapText="1"/>
    </xf>
    <xf numFmtId="3" fontId="74" fillId="0" borderId="7" xfId="17" applyNumberFormat="1" applyFont="1" applyBorder="1" applyAlignment="1">
      <alignment horizontal="center" wrapText="1"/>
    </xf>
    <xf numFmtId="3" fontId="44" fillId="0" borderId="2" xfId="17" applyNumberFormat="1" applyFont="1" applyBorder="1" applyAlignment="1">
      <alignment horizontal="right" vertical="center"/>
    </xf>
    <xf numFmtId="0" fontId="44" fillId="0" borderId="2" xfId="17" applyFont="1" applyBorder="1" applyAlignment="1">
      <alignment horizontal="right" vertical="center"/>
    </xf>
    <xf numFmtId="0" fontId="44" fillId="0" borderId="0" xfId="17" applyFont="1" applyAlignment="1">
      <alignment vertical="center"/>
    </xf>
    <xf numFmtId="0" fontId="74" fillId="0" borderId="11" xfId="17" applyFont="1" applyBorder="1" applyAlignment="1">
      <alignment horizontal="center"/>
    </xf>
    <xf numFmtId="0" fontId="74" fillId="0" borderId="12" xfId="17" applyFont="1" applyBorder="1" applyAlignment="1">
      <alignment horizontal="center"/>
    </xf>
    <xf numFmtId="0" fontId="74" fillId="0" borderId="12" xfId="17" applyFont="1" applyBorder="1" applyAlignment="1">
      <alignment horizontal="center" wrapText="1"/>
    </xf>
    <xf numFmtId="0" fontId="58" fillId="0" borderId="12" xfId="17" applyFont="1" applyBorder="1" applyAlignment="1">
      <alignment horizontal="center" wrapText="1"/>
    </xf>
    <xf numFmtId="3" fontId="74" fillId="0" borderId="12" xfId="17" applyNumberFormat="1" applyFont="1" applyBorder="1" applyAlignment="1">
      <alignment horizontal="center" wrapText="1"/>
    </xf>
    <xf numFmtId="3" fontId="74" fillId="0" borderId="13" xfId="17" applyNumberFormat="1" applyFont="1" applyBorder="1" applyAlignment="1">
      <alignment horizontal="center" wrapText="1"/>
    </xf>
    <xf numFmtId="3" fontId="37" fillId="0" borderId="2" xfId="17" applyNumberFormat="1" applyFont="1" applyBorder="1" applyAlignment="1">
      <alignment vertical="top" wrapText="1"/>
    </xf>
    <xf numFmtId="0" fontId="30" fillId="0" borderId="0" xfId="17" applyFont="1" applyAlignment="1">
      <alignment vertical="top"/>
    </xf>
    <xf numFmtId="0" fontId="74" fillId="0" borderId="8" xfId="17" applyFont="1" applyBorder="1" applyAlignment="1">
      <alignment horizontal="center"/>
    </xf>
    <xf numFmtId="0" fontId="74" fillId="0" borderId="9" xfId="17" applyFont="1" applyBorder="1" applyAlignment="1">
      <alignment horizontal="center"/>
    </xf>
    <xf numFmtId="0" fontId="74" fillId="0" borderId="9" xfId="17" applyFont="1" applyBorder="1" applyAlignment="1">
      <alignment horizontal="center" wrapText="1"/>
    </xf>
    <xf numFmtId="0" fontId="74" fillId="0" borderId="9" xfId="17" applyFont="1" applyBorder="1" applyAlignment="1">
      <alignment horizontal="left" wrapText="1"/>
    </xf>
    <xf numFmtId="0" fontId="58" fillId="0" borderId="9" xfId="17" applyFont="1" applyBorder="1" applyAlignment="1">
      <alignment horizontal="center" wrapText="1"/>
    </xf>
    <xf numFmtId="3" fontId="74" fillId="0" borderId="9" xfId="17" applyNumberFormat="1" applyFont="1" applyBorder="1" applyAlignment="1">
      <alignment horizontal="center" wrapText="1"/>
    </xf>
    <xf numFmtId="3" fontId="74" fillId="0" borderId="15" xfId="17" applyNumberFormat="1" applyFont="1" applyBorder="1" applyAlignment="1">
      <alignment horizontal="center" wrapText="1"/>
    </xf>
    <xf numFmtId="3" fontId="44" fillId="0" borderId="2" xfId="17" applyNumberFormat="1" applyFont="1" applyBorder="1" applyAlignment="1">
      <alignment vertical="center"/>
    </xf>
    <xf numFmtId="3" fontId="49" fillId="0" borderId="2" xfId="17" applyNumberFormat="1" applyFont="1" applyBorder="1" applyAlignment="1">
      <alignment vertical="center" wrapText="1"/>
    </xf>
    <xf numFmtId="0" fontId="31" fillId="0" borderId="0" xfId="17" applyFont="1" applyAlignment="1">
      <alignment vertical="center"/>
    </xf>
    <xf numFmtId="49" fontId="39" fillId="0" borderId="5" xfId="17" applyNumberFormat="1" applyFont="1" applyBorder="1" applyAlignment="1">
      <alignment horizontal="left" vertical="center"/>
    </xf>
    <xf numFmtId="49" fontId="39" fillId="0" borderId="10" xfId="17" applyNumberFormat="1" applyFont="1" applyBorder="1" applyAlignment="1">
      <alignment horizontal="left" vertical="center"/>
    </xf>
    <xf numFmtId="0" fontId="36" fillId="0" borderId="10" xfId="17" applyFont="1" applyBorder="1" applyAlignment="1">
      <alignment vertical="center" wrapText="1"/>
    </xf>
    <xf numFmtId="3" fontId="37" fillId="0" borderId="10" xfId="17" applyNumberFormat="1" applyFont="1" applyBorder="1" applyAlignment="1">
      <alignment vertical="center" wrapText="1"/>
    </xf>
    <xf numFmtId="3" fontId="37" fillId="0" borderId="6" xfId="17" applyNumberFormat="1" applyFont="1" applyBorder="1" applyAlignment="1">
      <alignment vertical="center" wrapText="1"/>
    </xf>
    <xf numFmtId="0" fontId="30" fillId="0" borderId="0" xfId="17" applyFont="1" applyAlignment="1">
      <alignment vertical="center"/>
    </xf>
    <xf numFmtId="3" fontId="37" fillId="0" borderId="2" xfId="17" applyNumberFormat="1" applyFont="1" applyBorder="1" applyAlignment="1">
      <alignment vertical="center" wrapText="1"/>
    </xf>
    <xf numFmtId="0" fontId="22" fillId="0" borderId="0" xfId="17" applyFont="1" applyAlignment="1">
      <alignment vertical="top"/>
    </xf>
    <xf numFmtId="3" fontId="40" fillId="0" borderId="4" xfId="17" applyNumberFormat="1" applyFont="1" applyBorder="1" applyAlignment="1">
      <alignment vertical="center" wrapText="1"/>
    </xf>
    <xf numFmtId="3" fontId="40" fillId="0" borderId="2" xfId="17" applyNumberFormat="1" applyFont="1" applyBorder="1" applyAlignment="1">
      <alignment vertical="center" wrapText="1"/>
    </xf>
    <xf numFmtId="0" fontId="28" fillId="0" borderId="0" xfId="17" applyFont="1" applyAlignment="1">
      <alignment vertical="center"/>
    </xf>
    <xf numFmtId="0" fontId="74" fillId="0" borderId="5" xfId="17" applyFont="1" applyBorder="1" applyAlignment="1">
      <alignment horizontal="center"/>
    </xf>
    <xf numFmtId="0" fontId="74" fillId="0" borderId="10" xfId="17" applyFont="1" applyBorder="1" applyAlignment="1">
      <alignment horizontal="center"/>
    </xf>
    <xf numFmtId="0" fontId="74" fillId="0" borderId="10" xfId="17" applyFont="1" applyBorder="1" applyAlignment="1">
      <alignment horizontal="center" wrapText="1"/>
    </xf>
    <xf numFmtId="0" fontId="58" fillId="0" borderId="10" xfId="17" applyFont="1" applyBorder="1" applyAlignment="1">
      <alignment horizontal="center" wrapText="1"/>
    </xf>
    <xf numFmtId="3" fontId="74" fillId="0" borderId="10" xfId="17" applyNumberFormat="1" applyFont="1" applyBorder="1" applyAlignment="1">
      <alignment horizontal="center" wrapText="1"/>
    </xf>
    <xf numFmtId="3" fontId="74" fillId="0" borderId="6" xfId="17" applyNumberFormat="1" applyFont="1" applyBorder="1" applyAlignment="1">
      <alignment horizontal="center" wrapText="1"/>
    </xf>
    <xf numFmtId="3" fontId="75" fillId="0" borderId="2" xfId="17" applyNumberFormat="1" applyFont="1" applyBorder="1" applyAlignment="1">
      <alignment vertical="center" wrapText="1"/>
    </xf>
    <xf numFmtId="0" fontId="58" fillId="0" borderId="0" xfId="17" applyFont="1" applyAlignment="1">
      <alignment vertical="center"/>
    </xf>
    <xf numFmtId="49" fontId="39" fillId="0" borderId="8" xfId="17" applyNumberFormat="1" applyFont="1" applyBorder="1" applyAlignment="1">
      <alignment horizontal="left" vertical="center"/>
    </xf>
    <xf numFmtId="49" fontId="39" fillId="0" borderId="9" xfId="17" applyNumberFormat="1" applyFont="1" applyBorder="1" applyAlignment="1">
      <alignment horizontal="left" vertical="center"/>
    </xf>
    <xf numFmtId="0" fontId="37" fillId="0" borderId="2" xfId="17" applyFont="1" applyBorder="1" applyAlignment="1">
      <alignment horizontal="center" vertical="center" wrapText="1"/>
    </xf>
    <xf numFmtId="0" fontId="37" fillId="0" borderId="5" xfId="17" applyFont="1" applyBorder="1" applyAlignment="1">
      <alignment vertical="center" wrapText="1"/>
    </xf>
    <xf numFmtId="3" fontId="37" fillId="0" borderId="4" xfId="17" applyNumberFormat="1" applyFont="1" applyBorder="1" applyAlignment="1">
      <alignment vertical="center" wrapText="1"/>
    </xf>
    <xf numFmtId="0" fontId="37" fillId="0" borderId="4" xfId="17" applyFont="1" applyBorder="1" applyAlignment="1">
      <alignment horizontal="center" vertical="center" wrapText="1"/>
    </xf>
    <xf numFmtId="0" fontId="37" fillId="0" borderId="6" xfId="17" applyFont="1" applyBorder="1" applyAlignment="1">
      <alignment vertical="center" wrapText="1"/>
    </xf>
    <xf numFmtId="49" fontId="37" fillId="0" borderId="2" xfId="17" applyNumberFormat="1" applyFont="1" applyBorder="1" applyAlignment="1">
      <alignment horizontal="center" vertical="top" wrapText="1"/>
    </xf>
    <xf numFmtId="0" fontId="37" fillId="0" borderId="6" xfId="17" applyFont="1" applyBorder="1" applyAlignment="1">
      <alignment vertical="top" wrapText="1"/>
    </xf>
    <xf numFmtId="3" fontId="37" fillId="0" borderId="4" xfId="17" applyNumberFormat="1" applyFont="1" applyBorder="1" applyAlignment="1">
      <alignment vertical="top" wrapText="1"/>
    </xf>
    <xf numFmtId="0" fontId="36" fillId="0" borderId="9" xfId="17" applyFont="1" applyBorder="1" applyAlignment="1">
      <alignment vertical="center" wrapText="1"/>
    </xf>
    <xf numFmtId="3" fontId="37" fillId="0" borderId="9" xfId="17" applyNumberFormat="1" applyFont="1" applyBorder="1" applyAlignment="1">
      <alignment vertical="center" wrapText="1"/>
    </xf>
    <xf numFmtId="3" fontId="37" fillId="0" borderId="15" xfId="17" applyNumberFormat="1" applyFont="1" applyBorder="1" applyAlignment="1">
      <alignment vertical="center" wrapText="1"/>
    </xf>
    <xf numFmtId="3" fontId="22" fillId="0" borderId="0" xfId="17" applyNumberFormat="1" applyFont="1" applyAlignment="1">
      <alignment vertical="center" wrapText="1"/>
    </xf>
    <xf numFmtId="0" fontId="76" fillId="0" borderId="0" xfId="17" applyFont="1" applyAlignment="1">
      <alignment horizontal="left"/>
    </xf>
    <xf numFmtId="0" fontId="76" fillId="0" borderId="0" xfId="17" applyFont="1" applyAlignment="1">
      <alignment horizontal="center"/>
    </xf>
    <xf numFmtId="0" fontId="43" fillId="0" borderId="0" xfId="17" applyFont="1" applyAlignment="1">
      <alignment wrapText="1"/>
    </xf>
    <xf numFmtId="0" fontId="22" fillId="0" borderId="0" xfId="17" applyFont="1" applyAlignment="1">
      <alignment wrapText="1"/>
    </xf>
    <xf numFmtId="3" fontId="22" fillId="0" borderId="0" xfId="17" applyNumberFormat="1" applyFont="1" applyAlignment="1">
      <alignment wrapText="1"/>
    </xf>
    <xf numFmtId="0" fontId="43" fillId="0" borderId="0" xfId="17" applyFont="1" applyAlignment="1">
      <alignment horizontal="left" vertical="center"/>
    </xf>
    <xf numFmtId="0" fontId="43" fillId="0" borderId="0" xfId="17" applyFont="1" applyAlignment="1">
      <alignment horizontal="center" vertical="center"/>
    </xf>
    <xf numFmtId="0" fontId="22" fillId="0" borderId="0" xfId="17" applyFont="1" applyAlignment="1">
      <alignment horizontal="center"/>
    </xf>
    <xf numFmtId="0" fontId="22" fillId="0" borderId="0" xfId="17" applyFont="1" applyAlignment="1">
      <alignment horizontal="center" wrapText="1"/>
    </xf>
    <xf numFmtId="3" fontId="22" fillId="0" borderId="0" xfId="17" applyNumberFormat="1" applyFont="1" applyAlignment="1">
      <alignment horizontal="left" wrapText="1"/>
    </xf>
    <xf numFmtId="3" fontId="22" fillId="0" borderId="0" xfId="17" applyNumberFormat="1" applyFont="1" applyAlignment="1">
      <alignment horizontal="center" wrapText="1"/>
    </xf>
    <xf numFmtId="0" fontId="25" fillId="0" borderId="0" xfId="17" applyFont="1" applyAlignment="1">
      <alignment vertical="center" wrapText="1"/>
    </xf>
    <xf numFmtId="0" fontId="25" fillId="0" borderId="4" xfId="17" applyFont="1" applyBorder="1" applyAlignment="1">
      <alignment horizontal="center" vertical="top" wrapText="1"/>
    </xf>
    <xf numFmtId="0" fontId="74" fillId="0" borderId="2" xfId="17" applyFont="1" applyBorder="1" applyAlignment="1">
      <alignment horizontal="center"/>
    </xf>
    <xf numFmtId="0" fontId="74" fillId="0" borderId="2" xfId="17" applyFont="1" applyBorder="1" applyAlignment="1">
      <alignment horizontal="center" wrapText="1"/>
    </xf>
    <xf numFmtId="3" fontId="74" fillId="0" borderId="2" xfId="17" applyNumberFormat="1" applyFont="1" applyBorder="1" applyAlignment="1">
      <alignment horizontal="center" wrapText="1"/>
    </xf>
    <xf numFmtId="3" fontId="32" fillId="0" borderId="2" xfId="17" applyNumberFormat="1" applyFont="1" applyBorder="1" applyAlignment="1">
      <alignment horizontal="right" vertical="center" wrapText="1"/>
    </xf>
    <xf numFmtId="0" fontId="32" fillId="0" borderId="0" xfId="17" applyFont="1" applyAlignment="1">
      <alignment horizontal="center" vertical="center"/>
    </xf>
    <xf numFmtId="49" fontId="22" fillId="0" borderId="4" xfId="17" applyNumberFormat="1" applyFont="1" applyBorder="1" applyAlignment="1">
      <alignment horizontal="center" vertical="top"/>
    </xf>
    <xf numFmtId="0" fontId="22" fillId="0" borderId="2" xfId="17" applyFont="1" applyBorder="1" applyAlignment="1">
      <alignment vertical="top" wrapText="1"/>
    </xf>
    <xf numFmtId="0" fontId="22" fillId="0" borderId="2" xfId="17" applyFont="1" applyBorder="1" applyAlignment="1">
      <alignment horizontal="justify" vertical="top" wrapText="1"/>
    </xf>
    <xf numFmtId="3" fontId="22" fillId="0" borderId="2" xfId="17" applyNumberFormat="1" applyFont="1" applyBorder="1" applyAlignment="1">
      <alignment horizontal="right" vertical="top"/>
    </xf>
    <xf numFmtId="3" fontId="22" fillId="0" borderId="2" xfId="17" applyNumberFormat="1" applyFont="1" applyBorder="1" applyAlignment="1">
      <alignment vertical="top" wrapText="1"/>
    </xf>
    <xf numFmtId="0" fontId="22" fillId="0" borderId="0" xfId="17" applyFont="1" applyAlignment="1">
      <alignment vertical="top" wrapText="1"/>
    </xf>
    <xf numFmtId="49" fontId="22" fillId="0" borderId="3" xfId="17" applyNumberFormat="1" applyFont="1" applyBorder="1" applyAlignment="1">
      <alignment horizontal="center" vertical="top"/>
    </xf>
    <xf numFmtId="49" fontId="22" fillId="0" borderId="1" xfId="17" applyNumberFormat="1" applyFont="1" applyBorder="1" applyAlignment="1">
      <alignment horizontal="center" vertical="top"/>
    </xf>
    <xf numFmtId="49" fontId="22" fillId="0" borderId="2" xfId="17" applyNumberFormat="1" applyFont="1" applyBorder="1" applyAlignment="1">
      <alignment horizontal="center" vertical="top"/>
    </xf>
    <xf numFmtId="0" fontId="43" fillId="0" borderId="0" xfId="17" applyFont="1" applyAlignment="1">
      <alignment vertical="center"/>
    </xf>
    <xf numFmtId="0" fontId="43" fillId="0" borderId="0" xfId="17" applyFont="1"/>
    <xf numFmtId="0" fontId="43" fillId="0" borderId="0" xfId="17" applyFont="1" applyAlignment="1">
      <alignment horizontal="center" vertical="center" wrapText="1"/>
    </xf>
    <xf numFmtId="0" fontId="30" fillId="0" borderId="0" xfId="17" applyFont="1"/>
    <xf numFmtId="0" fontId="25" fillId="0" borderId="0" xfId="17" applyFont="1"/>
    <xf numFmtId="3" fontId="22" fillId="0" borderId="0" xfId="17" applyNumberFormat="1" applyFont="1" applyAlignment="1">
      <alignment horizontal="left"/>
    </xf>
    <xf numFmtId="0" fontId="22" fillId="0" borderId="3" xfId="18" applyNumberFormat="1" applyFont="1" applyFill="1" applyBorder="1" applyAlignment="1">
      <alignment horizontal="center" vertical="top"/>
    </xf>
    <xf numFmtId="1" fontId="22" fillId="0" borderId="3" xfId="18" applyNumberFormat="1" applyFont="1" applyFill="1" applyBorder="1" applyAlignment="1">
      <alignment horizontal="center" vertical="top"/>
    </xf>
    <xf numFmtId="9" fontId="22" fillId="0" borderId="2" xfId="18" applyFont="1" applyFill="1" applyBorder="1" applyAlignment="1">
      <alignment vertical="top" wrapText="1"/>
    </xf>
    <xf numFmtId="9" fontId="22" fillId="0" borderId="2" xfId="18" applyFont="1" applyFill="1" applyBorder="1" applyAlignment="1">
      <alignment horizontal="justify" vertical="top" wrapText="1"/>
    </xf>
    <xf numFmtId="3" fontId="22" fillId="0" borderId="2" xfId="18" applyNumberFormat="1" applyFont="1" applyFill="1" applyBorder="1" applyAlignment="1">
      <alignment horizontal="right" vertical="top"/>
    </xf>
    <xf numFmtId="3" fontId="22" fillId="0" borderId="2" xfId="18" applyNumberFormat="1" applyFont="1" applyFill="1" applyBorder="1" applyAlignment="1">
      <alignment vertical="top" wrapText="1"/>
    </xf>
    <xf numFmtId="9" fontId="22" fillId="0" borderId="0" xfId="18" applyFont="1" applyFill="1" applyAlignment="1">
      <alignment vertical="top" wrapText="1"/>
    </xf>
    <xf numFmtId="9" fontId="22" fillId="0" borderId="0" xfId="18" applyFont="1" applyFill="1" applyAlignment="1">
      <alignment vertical="top"/>
    </xf>
    <xf numFmtId="9" fontId="22" fillId="0" borderId="3" xfId="18" applyFont="1" applyFill="1" applyBorder="1" applyAlignment="1">
      <alignment horizontal="center" vertical="top"/>
    </xf>
    <xf numFmtId="49" fontId="22" fillId="0" borderId="2" xfId="17" applyNumberFormat="1" applyFont="1" applyBorder="1" applyAlignment="1">
      <alignment horizontal="center" vertical="top" wrapText="1"/>
    </xf>
    <xf numFmtId="0" fontId="22" fillId="0" borderId="1" xfId="17" applyFont="1" applyBorder="1" applyAlignment="1">
      <alignment horizontal="justify" vertical="top" wrapText="1"/>
    </xf>
    <xf numFmtId="3" fontId="37" fillId="0" borderId="0" xfId="0" applyNumberFormat="1" applyFont="1" applyAlignment="1">
      <alignment horizontal="center"/>
    </xf>
    <xf numFmtId="0" fontId="39" fillId="0" borderId="4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39" fillId="0" borderId="5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0" fontId="23" fillId="0" borderId="0" xfId="20" applyFont="1" applyAlignment="1">
      <alignment horizontal="center" vertical="top"/>
    </xf>
    <xf numFmtId="0" fontId="23" fillId="0" borderId="0" xfId="20" applyFont="1" applyAlignment="1">
      <alignment vertical="top"/>
    </xf>
    <xf numFmtId="0" fontId="22" fillId="0" borderId="0" xfId="15" applyFont="1" applyAlignment="1">
      <alignment horizontal="center" wrapText="1"/>
    </xf>
    <xf numFmtId="0" fontId="22" fillId="0" borderId="0" xfId="15" applyFont="1" applyAlignment="1">
      <alignment horizontal="center" vertical="center" wrapText="1"/>
    </xf>
    <xf numFmtId="0" fontId="22" fillId="0" borderId="0" xfId="15" applyFont="1"/>
    <xf numFmtId="0" fontId="19" fillId="0" borderId="0" xfId="15"/>
    <xf numFmtId="0" fontId="22" fillId="0" borderId="0" xfId="15" applyFont="1" applyAlignment="1">
      <alignment horizontal="left"/>
    </xf>
    <xf numFmtId="0" fontId="28" fillId="0" borderId="2" xfId="15" applyFont="1" applyBorder="1" applyAlignment="1">
      <alignment horizontal="center" wrapText="1"/>
    </xf>
    <xf numFmtId="0" fontId="77" fillId="0" borderId="0" xfId="15" applyFont="1" applyAlignment="1">
      <alignment horizontal="center"/>
    </xf>
    <xf numFmtId="0" fontId="43" fillId="0" borderId="2" xfId="15" applyFont="1" applyBorder="1" applyAlignment="1">
      <alignment horizontal="center" vertical="center"/>
    </xf>
    <xf numFmtId="0" fontId="45" fillId="0" borderId="2" xfId="15" applyFont="1" applyBorder="1" applyAlignment="1">
      <alignment horizontal="left" vertical="center" wrapText="1"/>
    </xf>
    <xf numFmtId="0" fontId="45" fillId="0" borderId="6" xfId="15" applyFont="1" applyBorder="1" applyAlignment="1">
      <alignment horizontal="center" vertical="center" wrapText="1"/>
    </xf>
    <xf numFmtId="0" fontId="45" fillId="0" borderId="6" xfId="15" applyFont="1" applyBorder="1" applyAlignment="1">
      <alignment horizontal="right" vertical="center" wrapText="1"/>
    </xf>
    <xf numFmtId="3" fontId="45" fillId="0" borderId="2" xfId="15" applyNumberFormat="1" applyFont="1" applyBorder="1" applyAlignment="1">
      <alignment vertical="center"/>
    </xf>
    <xf numFmtId="3" fontId="45" fillId="0" borderId="2" xfId="15" applyNumberFormat="1" applyFont="1" applyBorder="1" applyAlignment="1">
      <alignment horizontal="right" vertical="center"/>
    </xf>
    <xf numFmtId="0" fontId="78" fillId="0" borderId="0" xfId="15" applyFont="1" applyAlignment="1">
      <alignment vertical="center"/>
    </xf>
    <xf numFmtId="0" fontId="43" fillId="0" borderId="4" xfId="15" applyFont="1" applyBorder="1" applyAlignment="1">
      <alignment horizontal="center" vertical="center"/>
    </xf>
    <xf numFmtId="0" fontId="45" fillId="0" borderId="4" xfId="15" applyFont="1" applyBorder="1" applyAlignment="1">
      <alignment horizontal="left" vertical="center" wrapText="1"/>
    </xf>
    <xf numFmtId="0" fontId="50" fillId="0" borderId="3" xfId="15" applyFont="1" applyBorder="1" applyAlignment="1">
      <alignment horizontal="center" vertical="center"/>
    </xf>
    <xf numFmtId="0" fontId="50" fillId="0" borderId="3" xfId="15" applyFont="1" applyBorder="1" applyAlignment="1">
      <alignment horizontal="left" vertical="center" wrapText="1"/>
    </xf>
    <xf numFmtId="0" fontId="50" fillId="0" borderId="6" xfId="15" applyFont="1" applyBorder="1" applyAlignment="1">
      <alignment horizontal="center" vertical="center" wrapText="1"/>
    </xf>
    <xf numFmtId="0" fontId="50" fillId="0" borderId="6" xfId="15" applyFont="1" applyBorder="1" applyAlignment="1">
      <alignment horizontal="right" vertical="center" wrapText="1"/>
    </xf>
    <xf numFmtId="3" fontId="50" fillId="0" borderId="2" xfId="15" applyNumberFormat="1" applyFont="1" applyBorder="1" applyAlignment="1">
      <alignment vertical="center"/>
    </xf>
    <xf numFmtId="3" fontId="50" fillId="0" borderId="2" xfId="15" applyNumberFormat="1" applyFont="1" applyBorder="1" applyAlignment="1">
      <alignment horizontal="right" vertical="center"/>
    </xf>
    <xf numFmtId="0" fontId="79" fillId="0" borderId="0" xfId="15" applyFont="1" applyAlignment="1">
      <alignment vertical="center"/>
    </xf>
    <xf numFmtId="0" fontId="50" fillId="0" borderId="1" xfId="15" applyFont="1" applyBorder="1" applyAlignment="1">
      <alignment horizontal="center" vertical="center"/>
    </xf>
    <xf numFmtId="0" fontId="50" fillId="0" borderId="1" xfId="15" applyFont="1" applyBorder="1" applyAlignment="1">
      <alignment horizontal="left" vertical="center" wrapText="1"/>
    </xf>
    <xf numFmtId="0" fontId="45" fillId="0" borderId="2" xfId="15" applyFont="1" applyBorder="1" applyAlignment="1">
      <alignment horizontal="left" vertical="top" wrapText="1"/>
    </xf>
    <xf numFmtId="0" fontId="78" fillId="0" borderId="0" xfId="15" applyFont="1"/>
    <xf numFmtId="0" fontId="30" fillId="0" borderId="5" xfId="15" applyFont="1" applyBorder="1" applyAlignment="1">
      <alignment horizontal="center" vertical="center"/>
    </xf>
    <xf numFmtId="0" fontId="32" fillId="0" borderId="10" xfId="15" applyFont="1" applyBorder="1" applyAlignment="1">
      <alignment horizontal="left" vertical="center" wrapText="1"/>
    </xf>
    <xf numFmtId="0" fontId="32" fillId="0" borderId="6" xfId="15" applyFont="1" applyBorder="1" applyAlignment="1">
      <alignment horizontal="center" vertical="center" wrapText="1"/>
    </xf>
    <xf numFmtId="3" fontId="32" fillId="0" borderId="2" xfId="15" applyNumberFormat="1" applyFont="1" applyBorder="1" applyAlignment="1">
      <alignment horizontal="right" vertical="center"/>
    </xf>
    <xf numFmtId="0" fontId="80" fillId="0" borderId="0" xfId="15" applyFont="1" applyAlignment="1">
      <alignment vertical="center"/>
    </xf>
    <xf numFmtId="0" fontId="81" fillId="0" borderId="0" xfId="15" applyFont="1" applyAlignment="1">
      <alignment horizontal="center"/>
    </xf>
    <xf numFmtId="0" fontId="81" fillId="0" borderId="0" xfId="15" applyFont="1" applyAlignment="1">
      <alignment horizontal="center" wrapText="1"/>
    </xf>
    <xf numFmtId="0" fontId="81" fillId="0" borderId="0" xfId="15" applyFont="1" applyAlignment="1">
      <alignment horizontal="center" vertical="center" wrapText="1"/>
    </xf>
    <xf numFmtId="0" fontId="81" fillId="0" borderId="0" xfId="15" applyFont="1"/>
    <xf numFmtId="0" fontId="22" fillId="0" borderId="0" xfId="15" applyFont="1" applyAlignment="1">
      <alignment horizontal="center" vertical="center"/>
    </xf>
    <xf numFmtId="0" fontId="22" fillId="0" borderId="0" xfId="15" applyFont="1" applyAlignment="1">
      <alignment vertical="center"/>
    </xf>
    <xf numFmtId="0" fontId="19" fillId="0" borderId="0" xfId="15" applyAlignment="1">
      <alignment vertical="center"/>
    </xf>
    <xf numFmtId="0" fontId="25" fillId="0" borderId="2" xfId="15" applyFont="1" applyBorder="1" applyAlignment="1">
      <alignment horizontal="center" vertical="top" wrapText="1"/>
    </xf>
    <xf numFmtId="0" fontId="19" fillId="0" borderId="0" xfId="15" applyAlignment="1">
      <alignment horizontal="center" vertical="top" wrapText="1"/>
    </xf>
    <xf numFmtId="0" fontId="21" fillId="0" borderId="2" xfId="20" applyFont="1" applyBorder="1" applyAlignment="1">
      <alignment horizontal="center" vertical="top"/>
    </xf>
    <xf numFmtId="0" fontId="21" fillId="0" borderId="0" xfId="20" applyFont="1" applyAlignment="1">
      <alignment horizontal="center" vertical="top"/>
    </xf>
    <xf numFmtId="0" fontId="21" fillId="0" borderId="5" xfId="20" applyFont="1" applyBorder="1" applyAlignment="1">
      <alignment horizontal="center" vertical="top"/>
    </xf>
    <xf numFmtId="0" fontId="1" fillId="0" borderId="15" xfId="20" applyFont="1" applyBorder="1" applyAlignment="1">
      <alignment horizontal="left" vertical="top"/>
    </xf>
    <xf numFmtId="0" fontId="1" fillId="0" borderId="21" xfId="20" applyFont="1" applyBorder="1" applyAlignment="1">
      <alignment horizontal="center" vertical="top" wrapText="1"/>
    </xf>
    <xf numFmtId="0" fontId="1" fillId="0" borderId="26" xfId="20" applyFont="1" applyBorder="1" applyAlignment="1">
      <alignment horizontal="left" vertical="top" wrapText="1"/>
    </xf>
    <xf numFmtId="3" fontId="1" fillId="0" borderId="21" xfId="20" applyNumberFormat="1" applyFont="1" applyBorder="1" applyAlignment="1">
      <alignment vertical="top"/>
    </xf>
    <xf numFmtId="3" fontId="1" fillId="0" borderId="21" xfId="20" applyNumberFormat="1" applyFont="1" applyBorder="1" applyAlignment="1">
      <alignment horizontal="right" vertical="top"/>
    </xf>
    <xf numFmtId="0" fontId="1" fillId="0" borderId="0" xfId="20" applyFont="1" applyAlignment="1">
      <alignment horizontal="center" vertical="center"/>
    </xf>
    <xf numFmtId="0" fontId="21" fillId="0" borderId="4" xfId="20" applyFont="1" applyBorder="1" applyAlignment="1">
      <alignment horizontal="center" vertical="top"/>
    </xf>
    <xf numFmtId="0" fontId="1" fillId="0" borderId="1" xfId="20" applyFont="1" applyBorder="1" applyAlignment="1">
      <alignment horizontal="center" vertical="top"/>
    </xf>
    <xf numFmtId="0" fontId="33" fillId="0" borderId="33" xfId="20" applyFont="1" applyBorder="1" applyAlignment="1">
      <alignment vertical="top" wrapText="1"/>
    </xf>
    <xf numFmtId="3" fontId="33" fillId="0" borderId="18" xfId="20" applyNumberFormat="1" applyFont="1" applyBorder="1" applyAlignment="1">
      <alignment horizontal="center" vertical="top"/>
    </xf>
    <xf numFmtId="0" fontId="12" fillId="0" borderId="16" xfId="20" applyFont="1" applyBorder="1" applyAlignment="1">
      <alignment vertical="top" wrapText="1"/>
    </xf>
    <xf numFmtId="0" fontId="33" fillId="0" borderId="24" xfId="20" applyFont="1" applyBorder="1" applyAlignment="1">
      <alignment vertical="top"/>
    </xf>
    <xf numFmtId="3" fontId="33" fillId="0" borderId="1" xfId="20" applyNumberFormat="1" applyFont="1" applyBorder="1" applyAlignment="1">
      <alignment vertical="top"/>
    </xf>
    <xf numFmtId="0" fontId="12" fillId="0" borderId="2" xfId="20" applyFont="1" applyBorder="1" applyAlignment="1">
      <alignment horizontal="center" vertical="top"/>
    </xf>
    <xf numFmtId="0" fontId="12" fillId="0" borderId="5" xfId="20" applyFont="1" applyBorder="1" applyAlignment="1">
      <alignment vertical="top" wrapText="1"/>
    </xf>
    <xf numFmtId="3" fontId="12" fillId="0" borderId="2" xfId="20" applyNumberFormat="1" applyFont="1" applyBorder="1" applyAlignment="1">
      <alignment vertical="top"/>
    </xf>
    <xf numFmtId="49" fontId="33" fillId="0" borderId="2" xfId="20" applyNumberFormat="1" applyFont="1" applyBorder="1" applyAlignment="1">
      <alignment horizontal="center" vertical="top" wrapText="1"/>
    </xf>
    <xf numFmtId="0" fontId="33" fillId="0" borderId="5" xfId="20" applyFont="1" applyBorder="1" applyAlignment="1">
      <alignment vertical="top" wrapText="1"/>
    </xf>
    <xf numFmtId="3" fontId="33" fillId="0" borderId="2" xfId="20" applyNumberFormat="1" applyFont="1" applyBorder="1" applyAlignment="1">
      <alignment vertical="top"/>
    </xf>
    <xf numFmtId="3" fontId="14" fillId="0" borderId="0" xfId="20" applyNumberFormat="1" applyFont="1" applyAlignment="1">
      <alignment vertical="top"/>
    </xf>
    <xf numFmtId="3" fontId="21" fillId="0" borderId="4" xfId="20" applyNumberFormat="1" applyFont="1" applyBorder="1" applyAlignment="1">
      <alignment horizontal="center" vertical="top"/>
    </xf>
    <xf numFmtId="49" fontId="24" fillId="0" borderId="0" xfId="16" applyNumberFormat="1" applyFont="1" applyAlignment="1">
      <alignment horizontal="center"/>
    </xf>
    <xf numFmtId="49" fontId="24" fillId="0" borderId="0" xfId="16" applyNumberFormat="1" applyFont="1" applyAlignment="1">
      <alignment horizontal="center" vertical="center"/>
    </xf>
    <xf numFmtId="49" fontId="25" fillId="0" borderId="4" xfId="16" applyNumberFormat="1" applyFont="1" applyBorder="1" applyAlignment="1">
      <alignment horizontal="center" vertical="top" wrapText="1"/>
    </xf>
    <xf numFmtId="49" fontId="25" fillId="0" borderId="3" xfId="16" applyNumberFormat="1" applyFont="1" applyBorder="1" applyAlignment="1">
      <alignment horizontal="center" vertical="top" wrapText="1"/>
    </xf>
    <xf numFmtId="49" fontId="25" fillId="0" borderId="1" xfId="16" applyNumberFormat="1" applyFont="1" applyBorder="1" applyAlignment="1">
      <alignment horizontal="center" vertical="top" wrapText="1"/>
    </xf>
    <xf numFmtId="49" fontId="25" fillId="0" borderId="8" xfId="16" applyNumberFormat="1" applyFont="1" applyBorder="1" applyAlignment="1">
      <alignment horizontal="center" vertical="top" wrapText="1"/>
    </xf>
    <xf numFmtId="49" fontId="25" fillId="0" borderId="14" xfId="16" applyNumberFormat="1" applyFont="1" applyBorder="1" applyAlignment="1">
      <alignment horizontal="center" vertical="top" wrapText="1"/>
    </xf>
    <xf numFmtId="49" fontId="25" fillId="0" borderId="11" xfId="16" applyNumberFormat="1" applyFont="1" applyBorder="1" applyAlignment="1">
      <alignment horizontal="center" vertical="top" wrapText="1"/>
    </xf>
    <xf numFmtId="2" fontId="25" fillId="0" borderId="4" xfId="16" applyNumberFormat="1" applyFont="1" applyBorder="1" applyAlignment="1">
      <alignment horizontal="center" vertical="top" wrapText="1"/>
    </xf>
    <xf numFmtId="2" fontId="25" fillId="0" borderId="3" xfId="16" applyNumberFormat="1" applyFont="1" applyBorder="1" applyAlignment="1">
      <alignment horizontal="center" vertical="top" wrapText="1"/>
    </xf>
    <xf numFmtId="2" fontId="25" fillId="0" borderId="1" xfId="16" applyNumberFormat="1" applyFont="1" applyBorder="1" applyAlignment="1">
      <alignment horizontal="center" vertical="top" wrapText="1"/>
    </xf>
    <xf numFmtId="2" fontId="25" fillId="0" borderId="8" xfId="16" applyNumberFormat="1" applyFont="1" applyBorder="1" applyAlignment="1">
      <alignment horizontal="center" vertical="top" wrapText="1"/>
    </xf>
    <xf numFmtId="2" fontId="25" fillId="0" borderId="11" xfId="16" applyNumberFormat="1" applyFont="1" applyBorder="1" applyAlignment="1">
      <alignment horizontal="center" vertical="top" wrapText="1"/>
    </xf>
    <xf numFmtId="2" fontId="25" fillId="0" borderId="2" xfId="16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vertical="top"/>
    </xf>
    <xf numFmtId="49" fontId="32" fillId="2" borderId="5" xfId="16" applyNumberFormat="1" applyFont="1" applyFill="1" applyBorder="1" applyAlignment="1">
      <alignment horizontal="center" vertical="center"/>
    </xf>
    <xf numFmtId="49" fontId="32" fillId="2" borderId="10" xfId="16" applyNumberFormat="1" applyFont="1" applyFill="1" applyBorder="1" applyAlignment="1">
      <alignment horizontal="center" vertical="center"/>
    </xf>
    <xf numFmtId="2" fontId="25" fillId="0" borderId="15" xfId="16" applyNumberFormat="1" applyFont="1" applyBorder="1" applyAlignment="1">
      <alignment horizontal="center" vertical="top" wrapText="1"/>
    </xf>
    <xf numFmtId="2" fontId="25" fillId="0" borderId="14" xfId="16" applyNumberFormat="1" applyFont="1" applyBorder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3" fontId="39" fillId="0" borderId="2" xfId="0" applyNumberFormat="1" applyFont="1" applyBorder="1" applyAlignment="1">
      <alignment horizontal="left" vertical="top" wrapText="1"/>
    </xf>
    <xf numFmtId="3" fontId="39" fillId="0" borderId="2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49" fontId="39" fillId="0" borderId="2" xfId="0" applyNumberFormat="1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3" fontId="39" fillId="6" borderId="2" xfId="0" applyNumberFormat="1" applyFont="1" applyFill="1" applyBorder="1" applyAlignment="1">
      <alignment horizontal="center" vertical="top" wrapText="1"/>
    </xf>
    <xf numFmtId="0" fontId="22" fillId="0" borderId="3" xfId="29" applyFont="1" applyBorder="1" applyAlignment="1">
      <alignment horizontal="center" wrapText="1"/>
    </xf>
    <xf numFmtId="0" fontId="24" fillId="0" borderId="0" xfId="30" applyFont="1" applyAlignment="1">
      <alignment horizontal="center" wrapText="1"/>
    </xf>
    <xf numFmtId="0" fontId="22" fillId="0" borderId="0" xfId="30" applyFont="1" applyAlignment="1">
      <alignment horizontal="left" vertical="center" wrapText="1"/>
    </xf>
    <xf numFmtId="0" fontId="25" fillId="0" borderId="2" xfId="29" applyFont="1" applyBorder="1" applyAlignment="1">
      <alignment horizontal="center" vertical="center" wrapText="1"/>
    </xf>
    <xf numFmtId="0" fontId="25" fillId="0" borderId="5" xfId="29" applyFont="1" applyBorder="1" applyAlignment="1">
      <alignment horizontal="center" vertical="center" wrapText="1"/>
    </xf>
    <xf numFmtId="0" fontId="66" fillId="0" borderId="3" xfId="29" applyFont="1" applyBorder="1" applyAlignment="1">
      <alignment horizontal="left" wrapText="1"/>
    </xf>
    <xf numFmtId="0" fontId="31" fillId="0" borderId="3" xfId="29" applyFont="1" applyBorder="1" applyAlignment="1">
      <alignment horizontal="center" wrapText="1"/>
    </xf>
    <xf numFmtId="0" fontId="25" fillId="0" borderId="3" xfId="29" applyFont="1" applyBorder="1" applyAlignment="1">
      <alignment horizontal="center" wrapText="1"/>
    </xf>
    <xf numFmtId="0" fontId="25" fillId="0" borderId="1" xfId="29" applyFont="1" applyBorder="1" applyAlignment="1">
      <alignment horizontal="center" wrapText="1"/>
    </xf>
    <xf numFmtId="0" fontId="24" fillId="0" borderId="0" xfId="31" applyFont="1" applyAlignment="1">
      <alignment horizontal="center" vertical="center" wrapText="1"/>
    </xf>
    <xf numFmtId="0" fontId="25" fillId="0" borderId="4" xfId="31" applyFont="1" applyBorder="1" applyAlignment="1">
      <alignment horizontal="center" vertical="top"/>
    </xf>
    <xf numFmtId="0" fontId="25" fillId="0" borderId="3" xfId="31" applyFont="1" applyBorder="1" applyAlignment="1">
      <alignment horizontal="center" vertical="top"/>
    </xf>
    <xf numFmtId="0" fontId="25" fillId="0" borderId="1" xfId="31" applyFont="1" applyBorder="1" applyAlignment="1">
      <alignment horizontal="center" vertical="top"/>
    </xf>
    <xf numFmtId="0" fontId="67" fillId="0" borderId="4" xfId="31" applyFont="1" applyBorder="1" applyAlignment="1">
      <alignment horizontal="center" vertical="top" wrapText="1"/>
    </xf>
    <xf numFmtId="0" fontId="67" fillId="0" borderId="3" xfId="31" applyFont="1" applyBorder="1" applyAlignment="1">
      <alignment horizontal="center" vertical="top" wrapText="1"/>
    </xf>
    <xf numFmtId="0" fontId="67" fillId="0" borderId="1" xfId="31" applyFont="1" applyBorder="1" applyAlignment="1">
      <alignment horizontal="center" vertical="top" wrapText="1"/>
    </xf>
    <xf numFmtId="0" fontId="68" fillId="0" borderId="4" xfId="31" applyFont="1" applyBorder="1" applyAlignment="1">
      <alignment horizontal="center" vertical="top" wrapText="1"/>
    </xf>
    <xf numFmtId="0" fontId="68" fillId="0" borderId="3" xfId="31" applyFont="1" applyBorder="1" applyAlignment="1">
      <alignment horizontal="center" vertical="top" wrapText="1"/>
    </xf>
    <xf numFmtId="0" fontId="68" fillId="0" borderId="1" xfId="31" applyFont="1" applyBorder="1" applyAlignment="1">
      <alignment horizontal="center" vertical="top" wrapText="1"/>
    </xf>
    <xf numFmtId="0" fontId="68" fillId="0" borderId="2" xfId="31" applyFont="1" applyBorder="1" applyAlignment="1">
      <alignment horizontal="center" vertical="top" wrapText="1"/>
    </xf>
    <xf numFmtId="0" fontId="67" fillId="0" borderId="2" xfId="31" applyFont="1" applyBorder="1" applyAlignment="1">
      <alignment horizontal="center" vertical="top" wrapText="1"/>
    </xf>
    <xf numFmtId="0" fontId="32" fillId="0" borderId="2" xfId="31" applyFont="1" applyBorder="1" applyAlignment="1">
      <alignment horizontal="center" vertical="top" wrapText="1"/>
    </xf>
    <xf numFmtId="0" fontId="32" fillId="0" borderId="2" xfId="31" applyFont="1" applyBorder="1" applyAlignment="1">
      <alignment horizontal="center" vertical="top"/>
    </xf>
    <xf numFmtId="0" fontId="25" fillId="0" borderId="2" xfId="31" applyFont="1" applyBorder="1" applyAlignment="1">
      <alignment horizontal="center" vertical="top" wrapText="1"/>
    </xf>
    <xf numFmtId="0" fontId="25" fillId="0" borderId="2" xfId="31" applyFont="1" applyBorder="1" applyAlignment="1">
      <alignment horizontal="center" vertical="top"/>
    </xf>
    <xf numFmtId="0" fontId="68" fillId="0" borderId="2" xfId="31" applyFont="1" applyBorder="1" applyAlignment="1">
      <alignment horizontal="center" vertical="top"/>
    </xf>
    <xf numFmtId="0" fontId="22" fillId="0" borderId="2" xfId="31" applyFont="1" applyBorder="1" applyAlignment="1">
      <alignment horizontal="center" vertical="center"/>
    </xf>
    <xf numFmtId="0" fontId="24" fillId="7" borderId="5" xfId="31" applyFont="1" applyFill="1" applyBorder="1" applyAlignment="1">
      <alignment horizontal="center" vertical="center"/>
    </xf>
    <xf numFmtId="0" fontId="24" fillId="7" borderId="10" xfId="31" applyFont="1" applyFill="1" applyBorder="1" applyAlignment="1">
      <alignment horizontal="center" vertical="center"/>
    </xf>
    <xf numFmtId="0" fontId="24" fillId="7" borderId="6" xfId="31" applyFont="1" applyFill="1" applyBorder="1" applyAlignment="1">
      <alignment horizontal="center" vertical="center"/>
    </xf>
    <xf numFmtId="3" fontId="71" fillId="0" borderId="2" xfId="32" applyNumberFormat="1" applyFont="1" applyBorder="1" applyAlignment="1">
      <alignment vertical="center"/>
    </xf>
    <xf numFmtId="3" fontId="36" fillId="0" borderId="2" xfId="32" applyNumberFormat="1" applyFont="1" applyBorder="1" applyAlignment="1">
      <alignment vertical="center"/>
    </xf>
    <xf numFmtId="0" fontId="69" fillId="0" borderId="2" xfId="31" applyFont="1" applyBorder="1" applyAlignment="1">
      <alignment horizontal="center" vertical="center"/>
    </xf>
    <xf numFmtId="49" fontId="22" fillId="0" borderId="4" xfId="31" applyNumberFormat="1" applyFont="1" applyBorder="1" applyAlignment="1">
      <alignment horizontal="center" vertical="center" wrapText="1"/>
    </xf>
    <xf numFmtId="49" fontId="22" fillId="0" borderId="3" xfId="31" applyNumberFormat="1" applyFont="1" applyBorder="1" applyAlignment="1">
      <alignment horizontal="center" vertical="center" wrapText="1"/>
    </xf>
    <xf numFmtId="49" fontId="22" fillId="0" borderId="1" xfId="31" applyNumberFormat="1" applyFont="1" applyBorder="1" applyAlignment="1">
      <alignment horizontal="center" vertical="center" wrapText="1"/>
    </xf>
    <xf numFmtId="0" fontId="69" fillId="0" borderId="2" xfId="31" applyFont="1" applyBorder="1" applyAlignment="1">
      <alignment horizontal="left" vertical="center" wrapText="1"/>
    </xf>
    <xf numFmtId="0" fontId="22" fillId="0" borderId="2" xfId="31" applyFont="1" applyBorder="1" applyAlignment="1">
      <alignment horizontal="center" vertical="center" wrapText="1"/>
    </xf>
    <xf numFmtId="49" fontId="22" fillId="0" borderId="2" xfId="31" applyNumberFormat="1" applyFont="1" applyBorder="1" applyAlignment="1">
      <alignment horizontal="center" vertical="center"/>
    </xf>
    <xf numFmtId="0" fontId="32" fillId="0" borderId="2" xfId="31" applyFont="1" applyBorder="1" applyAlignment="1">
      <alignment horizontal="center" vertical="center" wrapText="1"/>
    </xf>
    <xf numFmtId="3" fontId="25" fillId="0" borderId="2" xfId="31" applyNumberFormat="1" applyFont="1" applyBorder="1" applyAlignment="1">
      <alignment horizontal="right" vertical="center"/>
    </xf>
    <xf numFmtId="0" fontId="72" fillId="0" borderId="2" xfId="31" applyFont="1" applyBorder="1" applyAlignment="1">
      <alignment horizontal="center" vertical="center" wrapText="1"/>
    </xf>
    <xf numFmtId="3" fontId="32" fillId="0" borderId="2" xfId="31" applyNumberFormat="1" applyFont="1" applyBorder="1" applyAlignment="1">
      <alignment horizontal="right" vertical="center"/>
    </xf>
    <xf numFmtId="0" fontId="24" fillId="0" borderId="0" xfId="31" applyFont="1" applyAlignment="1">
      <alignment horizontal="center" wrapText="1"/>
    </xf>
    <xf numFmtId="0" fontId="22" fillId="0" borderId="4" xfId="33" applyFont="1" applyBorder="1" applyAlignment="1">
      <alignment horizontal="left" vertical="center" wrapText="1"/>
    </xf>
    <xf numFmtId="0" fontId="22" fillId="0" borderId="3" xfId="33" applyFont="1" applyBorder="1" applyAlignment="1">
      <alignment horizontal="left" vertical="center" wrapText="1"/>
    </xf>
    <xf numFmtId="0" fontId="22" fillId="0" borderId="1" xfId="33" applyFont="1" applyBorder="1" applyAlignment="1">
      <alignment horizontal="left" vertical="center" wrapText="1"/>
    </xf>
    <xf numFmtId="49" fontId="22" fillId="0" borderId="2" xfId="31" applyNumberFormat="1" applyFont="1" applyBorder="1" applyAlignment="1">
      <alignment horizontal="center" vertical="center" wrapText="1"/>
    </xf>
    <xf numFmtId="0" fontId="29" fillId="0" borderId="5" xfId="31" applyFont="1" applyBorder="1" applyAlignment="1">
      <alignment horizontal="center"/>
    </xf>
    <xf numFmtId="0" fontId="29" fillId="0" borderId="10" xfId="31" applyFont="1" applyBorder="1" applyAlignment="1">
      <alignment horizontal="center"/>
    </xf>
    <xf numFmtId="0" fontId="29" fillId="0" borderId="6" xfId="31" applyFont="1" applyBorder="1" applyAlignment="1">
      <alignment horizontal="center"/>
    </xf>
    <xf numFmtId="0" fontId="24" fillId="8" borderId="5" xfId="31" applyFont="1" applyFill="1" applyBorder="1" applyAlignment="1">
      <alignment horizontal="center" vertical="center"/>
    </xf>
    <xf numFmtId="0" fontId="24" fillId="8" borderId="10" xfId="31" applyFont="1" applyFill="1" applyBorder="1" applyAlignment="1">
      <alignment horizontal="center" vertical="center"/>
    </xf>
    <xf numFmtId="0" fontId="24" fillId="8" borderId="6" xfId="31" applyFont="1" applyFill="1" applyBorder="1" applyAlignment="1">
      <alignment horizontal="center" vertical="center"/>
    </xf>
    <xf numFmtId="3" fontId="71" fillId="0" borderId="2" xfId="34" applyNumberFormat="1" applyFont="1" applyBorder="1" applyAlignment="1">
      <alignment vertical="center"/>
    </xf>
    <xf numFmtId="3" fontId="36" fillId="9" borderId="2" xfId="34" applyNumberFormat="1" applyFont="1" applyFill="1" applyBorder="1" applyAlignment="1">
      <alignment vertical="center"/>
    </xf>
    <xf numFmtId="0" fontId="24" fillId="0" borderId="8" xfId="31" applyFont="1" applyBorder="1" applyAlignment="1">
      <alignment horizontal="center" vertical="center" wrapText="1"/>
    </xf>
    <xf numFmtId="0" fontId="24" fillId="0" borderId="9" xfId="31" applyFont="1" applyBorder="1" applyAlignment="1">
      <alignment horizontal="center" vertical="center" wrapText="1"/>
    </xf>
    <xf numFmtId="0" fontId="24" fillId="0" borderId="15" xfId="31" applyFont="1" applyBorder="1" applyAlignment="1">
      <alignment horizontal="center" vertical="center" wrapText="1"/>
    </xf>
    <xf numFmtId="0" fontId="24" fillId="0" borderId="14" xfId="31" applyFont="1" applyBorder="1" applyAlignment="1">
      <alignment horizontal="center" vertical="center" wrapText="1"/>
    </xf>
    <xf numFmtId="0" fontId="24" fillId="0" borderId="7" xfId="31" applyFont="1" applyBorder="1" applyAlignment="1">
      <alignment horizontal="center" vertical="center" wrapText="1"/>
    </xf>
    <xf numFmtId="0" fontId="24" fillId="0" borderId="11" xfId="31" applyFont="1" applyBorder="1" applyAlignment="1">
      <alignment horizontal="center" vertical="center" wrapText="1"/>
    </xf>
    <xf numFmtId="0" fontId="24" fillId="0" borderId="12" xfId="31" applyFont="1" applyBorder="1" applyAlignment="1">
      <alignment horizontal="center" vertical="center" wrapText="1"/>
    </xf>
    <xf numFmtId="0" fontId="24" fillId="0" borderId="13" xfId="31" applyFont="1" applyBorder="1" applyAlignment="1">
      <alignment horizontal="center" vertical="center" wrapText="1"/>
    </xf>
    <xf numFmtId="3" fontId="35" fillId="0" borderId="2" xfId="34" applyNumberFormat="1" applyFont="1" applyBorder="1" applyAlignment="1">
      <alignment vertical="center"/>
    </xf>
    <xf numFmtId="0" fontId="73" fillId="0" borderId="8" xfId="31" applyFont="1" applyBorder="1" applyAlignment="1">
      <alignment horizontal="center" vertical="center" wrapText="1"/>
    </xf>
    <xf numFmtId="0" fontId="73" fillId="0" borderId="9" xfId="31" applyFont="1" applyBorder="1" applyAlignment="1">
      <alignment horizontal="center" vertical="center" wrapText="1"/>
    </xf>
    <xf numFmtId="0" fontId="73" fillId="0" borderId="15" xfId="31" applyFont="1" applyBorder="1" applyAlignment="1">
      <alignment horizontal="center" vertical="center" wrapText="1"/>
    </xf>
    <xf numFmtId="0" fontId="73" fillId="0" borderId="14" xfId="31" applyFont="1" applyBorder="1" applyAlignment="1">
      <alignment horizontal="center" vertical="center" wrapText="1"/>
    </xf>
    <xf numFmtId="0" fontId="73" fillId="0" borderId="0" xfId="31" applyFont="1" applyAlignment="1">
      <alignment horizontal="center" vertical="center" wrapText="1"/>
    </xf>
    <xf numFmtId="0" fontId="73" fillId="0" borderId="7" xfId="31" applyFont="1" applyBorder="1" applyAlignment="1">
      <alignment horizontal="center" vertical="center" wrapText="1"/>
    </xf>
    <xf numFmtId="0" fontId="73" fillId="0" borderId="11" xfId="31" applyFont="1" applyBorder="1" applyAlignment="1">
      <alignment horizontal="center" vertical="center" wrapText="1"/>
    </xf>
    <xf numFmtId="0" fontId="73" fillId="0" borderId="12" xfId="31" applyFont="1" applyBorder="1" applyAlignment="1">
      <alignment horizontal="center" vertical="center" wrapText="1"/>
    </xf>
    <xf numFmtId="0" fontId="73" fillId="0" borderId="13" xfId="31" applyFont="1" applyBorder="1" applyAlignment="1">
      <alignment horizontal="center" vertical="center" wrapText="1"/>
    </xf>
    <xf numFmtId="0" fontId="29" fillId="0" borderId="2" xfId="31" applyFont="1" applyBorder="1" applyAlignment="1">
      <alignment horizontal="center"/>
    </xf>
    <xf numFmtId="0" fontId="24" fillId="10" borderId="2" xfId="31" applyFont="1" applyFill="1" applyBorder="1" applyAlignment="1">
      <alignment horizontal="center"/>
    </xf>
    <xf numFmtId="0" fontId="24" fillId="0" borderId="2" xfId="31" applyFont="1" applyBorder="1" applyAlignment="1">
      <alignment horizontal="center"/>
    </xf>
    <xf numFmtId="0" fontId="22" fillId="0" borderId="4" xfId="31" applyFont="1" applyBorder="1" applyAlignment="1">
      <alignment horizontal="center" vertical="center" wrapText="1"/>
    </xf>
    <xf numFmtId="0" fontId="22" fillId="0" borderId="3" xfId="31" applyFont="1" applyBorder="1" applyAlignment="1">
      <alignment horizontal="center" vertical="center" wrapText="1"/>
    </xf>
    <xf numFmtId="0" fontId="22" fillId="0" borderId="1" xfId="31" applyFont="1" applyBorder="1" applyAlignment="1">
      <alignment horizontal="center" vertical="center" wrapText="1"/>
    </xf>
    <xf numFmtId="0" fontId="22" fillId="0" borderId="2" xfId="33" applyFont="1" applyBorder="1" applyAlignment="1">
      <alignment horizontal="left" vertical="center" wrapText="1"/>
    </xf>
    <xf numFmtId="3" fontId="22" fillId="0" borderId="0" xfId="17" applyNumberFormat="1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/>
    </xf>
    <xf numFmtId="3" fontId="22" fillId="0" borderId="2" xfId="0" applyNumberFormat="1" applyFont="1" applyBorder="1" applyAlignment="1">
      <alignment horizontal="center" vertical="center"/>
    </xf>
    <xf numFmtId="0" fontId="32" fillId="0" borderId="5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horizontal="left" vertical="top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3" fontId="30" fillId="0" borderId="4" xfId="17" applyNumberFormat="1" applyFont="1" applyBorder="1" applyAlignment="1">
      <alignment horizontal="center" vertical="top" wrapText="1"/>
    </xf>
    <xf numFmtId="3" fontId="30" fillId="0" borderId="1" xfId="17" applyNumberFormat="1" applyFont="1" applyBorder="1" applyAlignment="1">
      <alignment horizontal="center" vertical="top" wrapText="1"/>
    </xf>
    <xf numFmtId="0" fontId="26" fillId="0" borderId="5" xfId="17" applyFont="1" applyBorder="1" applyAlignment="1">
      <alignment horizontal="center" vertical="center"/>
    </xf>
    <xf numFmtId="0" fontId="26" fillId="0" borderId="6" xfId="35" applyFont="1" applyBorder="1" applyAlignment="1">
      <alignment horizontal="center" vertical="center"/>
    </xf>
    <xf numFmtId="0" fontId="44" fillId="0" borderId="5" xfId="17" applyFont="1" applyBorder="1" applyAlignment="1">
      <alignment horizontal="center" vertical="center" wrapText="1"/>
    </xf>
    <xf numFmtId="0" fontId="44" fillId="0" borderId="10" xfId="17" applyFont="1" applyBorder="1" applyAlignment="1">
      <alignment horizontal="center" vertical="center" wrapText="1"/>
    </xf>
    <xf numFmtId="0" fontId="44" fillId="0" borderId="6" xfId="17" applyFont="1" applyBorder="1" applyAlignment="1">
      <alignment horizontal="center" vertical="center" wrapText="1"/>
    </xf>
    <xf numFmtId="0" fontId="44" fillId="0" borderId="5" xfId="17" applyFont="1" applyBorder="1" applyAlignment="1">
      <alignment horizontal="left" vertical="center"/>
    </xf>
    <xf numFmtId="0" fontId="44" fillId="0" borderId="10" xfId="17" applyFont="1" applyBorder="1" applyAlignment="1">
      <alignment horizontal="left" vertical="center"/>
    </xf>
    <xf numFmtId="0" fontId="24" fillId="0" borderId="0" xfId="17" applyFont="1" applyAlignment="1">
      <alignment horizontal="center" vertical="center"/>
    </xf>
    <xf numFmtId="0" fontId="30" fillId="0" borderId="8" xfId="17" applyFont="1" applyBorder="1" applyAlignment="1">
      <alignment horizontal="center" vertical="top" wrapText="1"/>
    </xf>
    <xf numFmtId="0" fontId="30" fillId="0" borderId="15" xfId="17" applyFont="1" applyBorder="1" applyAlignment="1">
      <alignment horizontal="center" vertical="top" wrapText="1"/>
    </xf>
    <xf numFmtId="0" fontId="30" fillId="0" borderId="14" xfId="17" applyFont="1" applyBorder="1" applyAlignment="1">
      <alignment horizontal="center" vertical="top" wrapText="1"/>
    </xf>
    <xf numFmtId="0" fontId="30" fillId="0" borderId="7" xfId="17" applyFont="1" applyBorder="1" applyAlignment="1">
      <alignment horizontal="center" vertical="top" wrapText="1"/>
    </xf>
    <xf numFmtId="0" fontId="30" fillId="0" borderId="11" xfId="17" applyFont="1" applyBorder="1" applyAlignment="1">
      <alignment horizontal="center" vertical="top" wrapText="1"/>
    </xf>
    <xf numFmtId="0" fontId="30" fillId="0" borderId="13" xfId="17" applyFont="1" applyBorder="1" applyAlignment="1">
      <alignment horizontal="center" vertical="top" wrapText="1"/>
    </xf>
    <xf numFmtId="0" fontId="22" fillId="0" borderId="15" xfId="35" applyFont="1" applyBorder="1" applyAlignment="1">
      <alignment vertical="top"/>
    </xf>
    <xf numFmtId="0" fontId="22" fillId="0" borderId="14" xfId="35" applyFont="1" applyBorder="1" applyAlignment="1">
      <alignment vertical="top"/>
    </xf>
    <xf numFmtId="0" fontId="22" fillId="0" borderId="7" xfId="35" applyFont="1" applyBorder="1" applyAlignment="1">
      <alignment vertical="top"/>
    </xf>
    <xf numFmtId="0" fontId="30" fillId="0" borderId="4" xfId="35" applyFont="1" applyBorder="1" applyAlignment="1">
      <alignment horizontal="center" vertical="top"/>
    </xf>
    <xf numFmtId="0" fontId="30" fillId="0" borderId="3" xfId="35" applyFont="1" applyBorder="1" applyAlignment="1">
      <alignment horizontal="center" vertical="top"/>
    </xf>
    <xf numFmtId="0" fontId="30" fillId="0" borderId="1" xfId="35" applyFont="1" applyBorder="1" applyAlignment="1">
      <alignment horizontal="center" vertical="top"/>
    </xf>
    <xf numFmtId="3" fontId="30" fillId="0" borderId="5" xfId="17" applyNumberFormat="1" applyFont="1" applyBorder="1" applyAlignment="1">
      <alignment horizontal="center" vertical="top" wrapText="1"/>
    </xf>
    <xf numFmtId="3" fontId="30" fillId="0" borderId="10" xfId="17" applyNumberFormat="1" applyFont="1" applyBorder="1" applyAlignment="1">
      <alignment horizontal="center" vertical="top" wrapText="1"/>
    </xf>
    <xf numFmtId="3" fontId="30" fillId="0" borderId="6" xfId="17" applyNumberFormat="1" applyFont="1" applyBorder="1" applyAlignment="1">
      <alignment horizontal="center" vertical="top" wrapText="1"/>
    </xf>
    <xf numFmtId="49" fontId="37" fillId="0" borderId="14" xfId="17" applyNumberFormat="1" applyFont="1" applyBorder="1" applyAlignment="1">
      <alignment horizontal="center" vertical="top"/>
    </xf>
    <xf numFmtId="49" fontId="37" fillId="0" borderId="7" xfId="17" applyNumberFormat="1" applyFont="1" applyBorder="1" applyAlignment="1">
      <alignment horizontal="center" vertical="top"/>
    </xf>
    <xf numFmtId="0" fontId="37" fillId="0" borderId="5" xfId="17" applyFont="1" applyBorder="1" applyAlignment="1">
      <alignment horizontal="left" vertical="top" wrapText="1"/>
    </xf>
    <xf numFmtId="0" fontId="37" fillId="0" borderId="6" xfId="17" applyFont="1" applyBorder="1" applyAlignment="1">
      <alignment horizontal="left" vertical="top" wrapText="1"/>
    </xf>
    <xf numFmtId="49" fontId="37" fillId="0" borderId="14" xfId="17" applyNumberFormat="1" applyFont="1" applyBorder="1" applyAlignment="1">
      <alignment horizontal="center" vertical="center"/>
    </xf>
    <xf numFmtId="49" fontId="37" fillId="0" borderId="7" xfId="17" applyNumberFormat="1" applyFont="1" applyBorder="1" applyAlignment="1">
      <alignment horizontal="center" vertical="center"/>
    </xf>
    <xf numFmtId="0" fontId="37" fillId="0" borderId="5" xfId="17" applyFont="1" applyBorder="1" applyAlignment="1">
      <alignment horizontal="left" vertical="center" wrapText="1"/>
    </xf>
    <xf numFmtId="0" fontId="37" fillId="0" borderId="6" xfId="17" applyFont="1" applyBorder="1" applyAlignment="1">
      <alignment horizontal="left" vertical="center" wrapText="1"/>
    </xf>
    <xf numFmtId="49" fontId="37" fillId="0" borderId="11" xfId="17" applyNumberFormat="1" applyFont="1" applyBorder="1" applyAlignment="1">
      <alignment horizontal="center" vertical="center"/>
    </xf>
    <xf numFmtId="49" fontId="37" fillId="0" borderId="13" xfId="17" applyNumberFormat="1" applyFont="1" applyBorder="1" applyAlignment="1">
      <alignment horizontal="center" vertical="center"/>
    </xf>
    <xf numFmtId="49" fontId="49" fillId="0" borderId="5" xfId="17" applyNumberFormat="1" applyFont="1" applyBorder="1" applyAlignment="1">
      <alignment horizontal="left" vertical="center"/>
    </xf>
    <xf numFmtId="49" fontId="49" fillId="0" borderId="10" xfId="17" applyNumberFormat="1" applyFont="1" applyBorder="1" applyAlignment="1">
      <alignment horizontal="left" vertical="center"/>
    </xf>
    <xf numFmtId="49" fontId="49" fillId="0" borderId="6" xfId="17" applyNumberFormat="1" applyFont="1" applyBorder="1" applyAlignment="1">
      <alignment horizontal="left" vertical="center"/>
    </xf>
    <xf numFmtId="49" fontId="37" fillId="0" borderId="8" xfId="17" applyNumberFormat="1" applyFont="1" applyBorder="1" applyAlignment="1">
      <alignment horizontal="center" vertical="center"/>
    </xf>
    <xf numFmtId="49" fontId="37" fillId="0" borderId="15" xfId="17" applyNumberFormat="1" applyFont="1" applyBorder="1" applyAlignment="1">
      <alignment horizontal="center" vertical="center"/>
    </xf>
    <xf numFmtId="49" fontId="37" fillId="0" borderId="5" xfId="17" applyNumberFormat="1" applyFont="1" applyBorder="1" applyAlignment="1">
      <alignment horizontal="center" vertical="center"/>
    </xf>
    <xf numFmtId="49" fontId="37" fillId="0" borderId="6" xfId="17" applyNumberFormat="1" applyFont="1" applyBorder="1" applyAlignment="1">
      <alignment horizontal="center" vertical="center"/>
    </xf>
    <xf numFmtId="49" fontId="40" fillId="0" borderId="14" xfId="17" applyNumberFormat="1" applyFont="1" applyBorder="1" applyAlignment="1">
      <alignment horizontal="center" vertical="center"/>
    </xf>
    <xf numFmtId="49" fontId="40" fillId="0" borderId="7" xfId="17" applyNumberFormat="1" applyFont="1" applyBorder="1" applyAlignment="1">
      <alignment horizontal="center" vertical="center"/>
    </xf>
    <xf numFmtId="0" fontId="40" fillId="0" borderId="5" xfId="17" applyFont="1" applyBorder="1" applyAlignment="1">
      <alignment horizontal="left" vertical="center" wrapText="1"/>
    </xf>
    <xf numFmtId="0" fontId="40" fillId="0" borderId="6" xfId="17" applyFont="1" applyBorder="1" applyAlignment="1">
      <alignment horizontal="left" vertical="center" wrapText="1"/>
    </xf>
    <xf numFmtId="49" fontId="37" fillId="0" borderId="8" xfId="17" applyNumberFormat="1" applyFont="1" applyBorder="1" applyAlignment="1">
      <alignment horizontal="center" vertical="top"/>
    </xf>
    <xf numFmtId="49" fontId="37" fillId="0" borderId="15" xfId="17" applyNumberFormat="1" applyFont="1" applyBorder="1" applyAlignment="1">
      <alignment horizontal="center" vertical="top"/>
    </xf>
    <xf numFmtId="49" fontId="75" fillId="0" borderId="5" xfId="17" applyNumberFormat="1" applyFont="1" applyBorder="1" applyAlignment="1">
      <alignment horizontal="left" vertical="center" wrapText="1"/>
    </xf>
    <xf numFmtId="49" fontId="75" fillId="0" borderId="10" xfId="17" applyNumberFormat="1" applyFont="1" applyBorder="1" applyAlignment="1">
      <alignment horizontal="left" vertical="center" wrapText="1"/>
    </xf>
    <xf numFmtId="49" fontId="75" fillId="0" borderId="6" xfId="17" applyNumberFormat="1" applyFont="1" applyBorder="1" applyAlignment="1">
      <alignment horizontal="left" vertical="center" wrapText="1"/>
    </xf>
    <xf numFmtId="49" fontId="75" fillId="0" borderId="5" xfId="17" applyNumberFormat="1" applyFont="1" applyBorder="1" applyAlignment="1">
      <alignment horizontal="left" vertical="center"/>
    </xf>
    <xf numFmtId="49" fontId="75" fillId="0" borderId="10" xfId="17" applyNumberFormat="1" applyFont="1" applyBorder="1" applyAlignment="1">
      <alignment horizontal="left" vertical="center"/>
    </xf>
    <xf numFmtId="49" fontId="75" fillId="0" borderId="6" xfId="17" applyNumberFormat="1" applyFont="1" applyBorder="1" applyAlignment="1">
      <alignment horizontal="left" vertical="center"/>
    </xf>
    <xf numFmtId="49" fontId="37" fillId="0" borderId="11" xfId="17" applyNumberFormat="1" applyFont="1" applyBorder="1" applyAlignment="1">
      <alignment horizontal="center" vertical="top"/>
    </xf>
    <xf numFmtId="49" fontId="37" fillId="0" borderId="13" xfId="17" applyNumberFormat="1" applyFont="1" applyBorder="1" applyAlignment="1">
      <alignment horizontal="center" vertical="top"/>
    </xf>
    <xf numFmtId="49" fontId="37" fillId="0" borderId="5" xfId="17" applyNumberFormat="1" applyFont="1" applyBorder="1" applyAlignment="1">
      <alignment horizontal="center" vertical="top"/>
    </xf>
    <xf numFmtId="49" fontId="37" fillId="0" borderId="6" xfId="17" applyNumberFormat="1" applyFont="1" applyBorder="1" applyAlignment="1">
      <alignment horizontal="center" vertical="top"/>
    </xf>
    <xf numFmtId="0" fontId="40" fillId="0" borderId="5" xfId="17" applyFont="1" applyBorder="1" applyAlignment="1">
      <alignment horizontal="left" vertical="top" wrapText="1"/>
    </xf>
    <xf numFmtId="0" fontId="37" fillId="0" borderId="8" xfId="17" applyFont="1" applyBorder="1" applyAlignment="1">
      <alignment horizontal="left" vertical="top" wrapText="1"/>
    </xf>
    <xf numFmtId="0" fontId="37" fillId="0" borderId="15" xfId="17" applyFont="1" applyBorder="1" applyAlignment="1">
      <alignment horizontal="left" vertical="top" wrapText="1"/>
    </xf>
    <xf numFmtId="0" fontId="21" fillId="0" borderId="5" xfId="20" applyFont="1" applyBorder="1" applyAlignment="1">
      <alignment horizontal="center" vertical="top"/>
    </xf>
    <xf numFmtId="0" fontId="21" fillId="0" borderId="10" xfId="20" applyFont="1" applyBorder="1" applyAlignment="1">
      <alignment horizontal="center" vertical="top"/>
    </xf>
    <xf numFmtId="0" fontId="21" fillId="0" borderId="6" xfId="20" applyFont="1" applyBorder="1" applyAlignment="1">
      <alignment horizontal="center" vertical="top"/>
    </xf>
    <xf numFmtId="0" fontId="23" fillId="0" borderId="0" xfId="20" applyFont="1" applyAlignment="1">
      <alignment horizontal="left" vertical="top"/>
    </xf>
    <xf numFmtId="0" fontId="24" fillId="0" borderId="0" xfId="17" applyFont="1" applyAlignment="1">
      <alignment horizontal="center" wrapText="1"/>
    </xf>
    <xf numFmtId="0" fontId="24" fillId="0" borderId="0" xfId="17" applyFont="1" applyAlignment="1">
      <alignment horizontal="center"/>
    </xf>
    <xf numFmtId="0" fontId="22" fillId="0" borderId="0" xfId="16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9" fillId="0" borderId="4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5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 wrapText="1"/>
    </xf>
    <xf numFmtId="0" fontId="39" fillId="0" borderId="2" xfId="0" applyFont="1" applyBorder="1" applyAlignment="1">
      <alignment horizontal="left" vertical="top" wrapText="1"/>
    </xf>
    <xf numFmtId="0" fontId="39" fillId="0" borderId="5" xfId="0" applyFont="1" applyBorder="1" applyAlignment="1">
      <alignment horizontal="left" vertical="top" wrapText="1"/>
    </xf>
    <xf numFmtId="3" fontId="22" fillId="0" borderId="0" xfId="16" applyNumberFormat="1" applyFont="1" applyAlignment="1">
      <alignment vertical="center"/>
    </xf>
    <xf numFmtId="0" fontId="2" fillId="0" borderId="0" xfId="0" applyFont="1"/>
    <xf numFmtId="49" fontId="49" fillId="0" borderId="2" xfId="0" applyNumberFormat="1" applyFont="1" applyBorder="1" applyAlignment="1">
      <alignment horizontal="left" vertical="center" wrapText="1"/>
    </xf>
    <xf numFmtId="49" fontId="49" fillId="0" borderId="1" xfId="0" applyNumberFormat="1" applyFont="1" applyBorder="1" applyAlignment="1">
      <alignment horizontal="left" vertical="center" wrapText="1"/>
    </xf>
    <xf numFmtId="49" fontId="49" fillId="0" borderId="2" xfId="0" applyNumberFormat="1" applyFont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25" fillId="0" borderId="2" xfId="0" applyFont="1" applyBorder="1" applyAlignment="1">
      <alignment horizontal="left" vertical="top" wrapText="1"/>
    </xf>
    <xf numFmtId="0" fontId="32" fillId="0" borderId="5" xfId="17" applyFont="1" applyBorder="1" applyAlignment="1">
      <alignment horizontal="center" vertical="center" wrapText="1"/>
    </xf>
    <xf numFmtId="0" fontId="32" fillId="0" borderId="10" xfId="17" applyFont="1" applyBorder="1" applyAlignment="1">
      <alignment horizontal="center" vertical="center" wrapText="1"/>
    </xf>
    <xf numFmtId="0" fontId="32" fillId="0" borderId="6" xfId="17" applyFont="1" applyBorder="1" applyAlignment="1">
      <alignment horizontal="center" vertical="center" wrapText="1"/>
    </xf>
    <xf numFmtId="3" fontId="22" fillId="0" borderId="0" xfId="17" applyNumberFormat="1" applyFont="1" applyAlignment="1">
      <alignment horizontal="left"/>
    </xf>
    <xf numFmtId="3" fontId="22" fillId="0" borderId="0" xfId="17" applyNumberFormat="1" applyFont="1" applyAlignment="1">
      <alignment horizontal="left" wrapText="1"/>
    </xf>
    <xf numFmtId="0" fontId="25" fillId="0" borderId="4" xfId="17" applyFont="1" applyBorder="1" applyAlignment="1">
      <alignment horizontal="center" vertical="top"/>
    </xf>
    <xf numFmtId="0" fontId="25" fillId="0" borderId="1" xfId="17" applyFont="1" applyBorder="1" applyAlignment="1">
      <alignment horizontal="center" vertical="top"/>
    </xf>
    <xf numFmtId="0" fontId="25" fillId="0" borderId="5" xfId="17" applyFont="1" applyBorder="1" applyAlignment="1">
      <alignment horizontal="center" vertical="top" wrapText="1"/>
    </xf>
    <xf numFmtId="0" fontId="25" fillId="0" borderId="6" xfId="17" applyFont="1" applyBorder="1" applyAlignment="1">
      <alignment horizontal="center" vertical="top" wrapText="1"/>
    </xf>
    <xf numFmtId="3" fontId="25" fillId="0" borderId="4" xfId="17" applyNumberFormat="1" applyFont="1" applyBorder="1" applyAlignment="1">
      <alignment horizontal="center" vertical="top" wrapText="1"/>
    </xf>
    <xf numFmtId="3" fontId="25" fillId="0" borderId="1" xfId="17" applyNumberFormat="1" applyFont="1" applyBorder="1" applyAlignment="1">
      <alignment horizontal="center" vertical="top" wrapText="1"/>
    </xf>
    <xf numFmtId="0" fontId="25" fillId="0" borderId="4" xfId="17" applyFont="1" applyBorder="1" applyAlignment="1">
      <alignment horizontal="center" vertical="top" wrapText="1"/>
    </xf>
    <xf numFmtId="0" fontId="25" fillId="0" borderId="1" xfId="17" applyFont="1" applyBorder="1" applyAlignment="1">
      <alignment horizontal="center" vertical="top" wrapText="1"/>
    </xf>
    <xf numFmtId="0" fontId="24" fillId="0" borderId="0" xfId="15" applyFont="1" applyAlignment="1">
      <alignment horizontal="center"/>
    </xf>
  </cellXfs>
  <cellStyles count="36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10" xfId="5" xr:uid="{00000000-0005-0000-0000-000005000000}"/>
    <cellStyle name="Normalny 10 2" xfId="28" xr:uid="{00000000-0005-0000-0000-000006000000}"/>
    <cellStyle name="Normalny 11" xfId="21" xr:uid="{00000000-0005-0000-0000-000007000000}"/>
    <cellStyle name="Normalny 11 2" xfId="22" xr:uid="{00000000-0005-0000-0000-000008000000}"/>
    <cellStyle name="Normalny 12" xfId="25" xr:uid="{00000000-0005-0000-0000-000009000000}"/>
    <cellStyle name="Normalny 13" xfId="26" xr:uid="{00000000-0005-0000-0000-00000A000000}"/>
    <cellStyle name="Normalny 13 2" xfId="27" xr:uid="{00000000-0005-0000-0000-00000B000000}"/>
    <cellStyle name="Normalny 2" xfId="6" xr:uid="{00000000-0005-0000-0000-00000C000000}"/>
    <cellStyle name="Normalny 2 2" xfId="7" xr:uid="{00000000-0005-0000-0000-00000D000000}"/>
    <cellStyle name="Normalny 2_RDW" xfId="8" xr:uid="{00000000-0005-0000-0000-00000E000000}"/>
    <cellStyle name="Normalny 3" xfId="9" xr:uid="{00000000-0005-0000-0000-00000F000000}"/>
    <cellStyle name="Normalny 4" xfId="10" xr:uid="{00000000-0005-0000-0000-000010000000}"/>
    <cellStyle name="Normalny 5" xfId="11" xr:uid="{00000000-0005-0000-0000-000011000000}"/>
    <cellStyle name="Normalny 6" xfId="12" xr:uid="{00000000-0005-0000-0000-000012000000}"/>
    <cellStyle name="Normalny 6 2" xfId="23" xr:uid="{00000000-0005-0000-0000-000013000000}"/>
    <cellStyle name="Normalny 7" xfId="20" xr:uid="{00000000-0005-0000-0000-000014000000}"/>
    <cellStyle name="Normalny 7 2" xfId="24" xr:uid="{00000000-0005-0000-0000-000015000000}"/>
    <cellStyle name="Normalny 8" xfId="13" xr:uid="{00000000-0005-0000-0000-000016000000}"/>
    <cellStyle name="Normalny 9" xfId="14" xr:uid="{00000000-0005-0000-0000-000017000000}"/>
    <cellStyle name="Normalny_IZ 2011" xfId="34" xr:uid="{00000000-0005-0000-0000-000018000000}"/>
    <cellStyle name="Normalny_RDW 2014" xfId="15" xr:uid="{00000000-0005-0000-0000-000019000000}"/>
    <cellStyle name="Normalny_RPO 2011" xfId="32" xr:uid="{00000000-0005-0000-0000-00001A000000}"/>
    <cellStyle name="Normalny_Załącznik  nr 7  RPO na 2010" xfId="31" xr:uid="{00000000-0005-0000-0000-00001B000000}"/>
    <cellStyle name="Normalny_załącznik nr 1" xfId="16" xr:uid="{00000000-0005-0000-0000-00001C000000}"/>
    <cellStyle name="Normalny_Załącznik nr 3  do proj. budżetu na 2006r._Zał. Nr 3 i Nr 21 do proj.budż.po Autopoprawce" xfId="30" xr:uid="{00000000-0005-0000-0000-00001D000000}"/>
    <cellStyle name="Normalny_Załącznik nr 9  PROW na 2010" xfId="33" xr:uid="{00000000-0005-0000-0000-00001E000000}"/>
    <cellStyle name="Normalny_Załączniki do  budżetu na 2005 r" xfId="17" xr:uid="{00000000-0005-0000-0000-00001F000000}"/>
    <cellStyle name="Normalny_Załączniki do budżetu na 2006 r._Zał. Nr 3 i Nr 21 do proj.budż.po Autopoprawce" xfId="29" xr:uid="{00000000-0005-0000-0000-000020000000}"/>
    <cellStyle name="Normalny_Załączniki do projektu budżetu na 2009 r." xfId="35" xr:uid="{00000000-0005-0000-0000-000021000000}"/>
    <cellStyle name="Procentowy 2" xfId="18" xr:uid="{00000000-0005-0000-0000-000022000000}"/>
    <cellStyle name="Styl 1" xfId="19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view="pageBreakPreview" zoomScaleNormal="100" zoomScaleSheetLayoutView="100" workbookViewId="0">
      <selection activeCell="B22" sqref="B22"/>
    </sheetView>
  </sheetViews>
  <sheetFormatPr defaultColWidth="8" defaultRowHeight="12.75"/>
  <cols>
    <col min="1" max="1" width="5" style="24" customWidth="1"/>
    <col min="2" max="2" width="27.625" style="25" customWidth="1"/>
    <col min="3" max="3" width="12.875" style="92" customWidth="1"/>
    <col min="4" max="6" width="11.375" style="27" customWidth="1"/>
    <col min="7" max="8" width="11.125" style="27" customWidth="1"/>
    <col min="9" max="10" width="10.875" style="27" customWidth="1"/>
    <col min="11" max="13" width="11.375" style="27" customWidth="1"/>
    <col min="14" max="14" width="11.125" style="27" customWidth="1"/>
    <col min="15" max="16" width="11.375" style="27" customWidth="1"/>
    <col min="17" max="16384" width="8" style="27"/>
  </cols>
  <sheetData>
    <row r="1" spans="1:16">
      <c r="C1" s="26"/>
      <c r="N1" s="27" t="s">
        <v>101</v>
      </c>
    </row>
    <row r="2" spans="1:16">
      <c r="C2" s="26"/>
      <c r="N2" s="27" t="s">
        <v>275</v>
      </c>
    </row>
    <row r="3" spans="1:16">
      <c r="C3" s="26"/>
      <c r="N3" s="27" t="s">
        <v>276</v>
      </c>
    </row>
    <row r="4" spans="1:16" ht="36" customHeight="1">
      <c r="A4" s="897" t="s">
        <v>102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</row>
    <row r="5" spans="1:16" ht="17.25" customHeight="1">
      <c r="A5" s="898" t="s">
        <v>277</v>
      </c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</row>
    <row r="6" spans="1:16">
      <c r="C6" s="26"/>
      <c r="F6" s="28"/>
      <c r="G6" s="28"/>
      <c r="H6" s="28"/>
      <c r="I6" s="28"/>
      <c r="J6" s="28"/>
      <c r="K6" s="28"/>
      <c r="L6" s="28"/>
      <c r="O6" s="29"/>
      <c r="P6" s="29" t="s">
        <v>15</v>
      </c>
    </row>
    <row r="7" spans="1:16" s="30" customFormat="1" ht="18.75" customHeight="1">
      <c r="A7" s="899" t="s">
        <v>99</v>
      </c>
      <c r="B7" s="902" t="s">
        <v>16</v>
      </c>
      <c r="C7" s="905" t="s">
        <v>17</v>
      </c>
      <c r="D7" s="908" t="s">
        <v>103</v>
      </c>
      <c r="E7" s="905" t="s">
        <v>104</v>
      </c>
      <c r="F7" s="910" t="s">
        <v>105</v>
      </c>
      <c r="G7" s="910"/>
      <c r="H7" s="910"/>
      <c r="I7" s="910"/>
      <c r="J7" s="910"/>
      <c r="K7" s="910"/>
      <c r="L7" s="910"/>
      <c r="M7" s="910"/>
      <c r="N7" s="910"/>
      <c r="O7" s="910"/>
      <c r="P7" s="910"/>
    </row>
    <row r="8" spans="1:16" s="30" customFormat="1" ht="19.5" customHeight="1">
      <c r="A8" s="900"/>
      <c r="B8" s="903"/>
      <c r="C8" s="906"/>
      <c r="D8" s="915"/>
      <c r="E8" s="906"/>
      <c r="F8" s="910" t="s">
        <v>106</v>
      </c>
      <c r="G8" s="911"/>
      <c r="H8" s="911"/>
      <c r="I8" s="911"/>
      <c r="J8" s="911"/>
      <c r="K8" s="911"/>
      <c r="L8" s="911"/>
      <c r="M8" s="910" t="s">
        <v>107</v>
      </c>
      <c r="N8" s="910"/>
      <c r="O8" s="910"/>
      <c r="P8" s="910"/>
    </row>
    <row r="9" spans="1:16" s="30" customFormat="1" ht="29.25" customHeight="1">
      <c r="A9" s="900"/>
      <c r="B9" s="903"/>
      <c r="C9" s="906"/>
      <c r="D9" s="915"/>
      <c r="E9" s="906"/>
      <c r="F9" s="905" t="s">
        <v>247</v>
      </c>
      <c r="G9" s="908" t="s">
        <v>248</v>
      </c>
      <c r="H9" s="914"/>
      <c r="I9" s="905" t="s">
        <v>108</v>
      </c>
      <c r="J9" s="905" t="s">
        <v>109</v>
      </c>
      <c r="K9" s="905" t="s">
        <v>110</v>
      </c>
      <c r="L9" s="905" t="s">
        <v>111</v>
      </c>
      <c r="M9" s="905" t="s">
        <v>112</v>
      </c>
      <c r="N9" s="905" t="s">
        <v>108</v>
      </c>
      <c r="O9" s="908" t="s">
        <v>109</v>
      </c>
      <c r="P9" s="905" t="s">
        <v>111</v>
      </c>
    </row>
    <row r="10" spans="1:16" s="30" customFormat="1" ht="42" customHeight="1">
      <c r="A10" s="901"/>
      <c r="B10" s="904"/>
      <c r="C10" s="907"/>
      <c r="D10" s="909"/>
      <c r="E10" s="907"/>
      <c r="F10" s="909"/>
      <c r="G10" s="684" t="s">
        <v>113</v>
      </c>
      <c r="H10" s="685" t="s">
        <v>114</v>
      </c>
      <c r="I10" s="907"/>
      <c r="J10" s="907"/>
      <c r="K10" s="907"/>
      <c r="L10" s="907"/>
      <c r="M10" s="907"/>
      <c r="N10" s="907"/>
      <c r="O10" s="909"/>
      <c r="P10" s="907"/>
    </row>
    <row r="11" spans="1:16" s="35" customFormat="1" ht="12" customHeight="1">
      <c r="A11" s="31" t="s">
        <v>18</v>
      </c>
      <c r="B11" s="32" t="s">
        <v>19</v>
      </c>
      <c r="C11" s="31" t="s">
        <v>20</v>
      </c>
      <c r="D11" s="31" t="s">
        <v>6</v>
      </c>
      <c r="E11" s="31" t="s">
        <v>9</v>
      </c>
      <c r="F11" s="33" t="s">
        <v>10</v>
      </c>
      <c r="G11" s="31" t="s">
        <v>11</v>
      </c>
      <c r="H11" s="34" t="s">
        <v>12</v>
      </c>
      <c r="I11" s="31" t="s">
        <v>13</v>
      </c>
      <c r="J11" s="31" t="s">
        <v>14</v>
      </c>
      <c r="K11" s="31" t="s">
        <v>0</v>
      </c>
      <c r="L11" s="31" t="s">
        <v>1</v>
      </c>
      <c r="M11" s="31" t="s">
        <v>2</v>
      </c>
      <c r="N11" s="31" t="s">
        <v>3</v>
      </c>
      <c r="O11" s="33" t="s">
        <v>57</v>
      </c>
      <c r="P11" s="31" t="s">
        <v>58</v>
      </c>
    </row>
    <row r="12" spans="1:16" s="35" customFormat="1" ht="5.0999999999999996" customHeight="1">
      <c r="A12" s="36"/>
      <c r="B12" s="37"/>
      <c r="C12" s="38"/>
      <c r="D12" s="39"/>
      <c r="E12" s="39"/>
      <c r="F12" s="39"/>
      <c r="G12" s="40"/>
      <c r="H12" s="39"/>
      <c r="I12" s="39"/>
      <c r="J12" s="39"/>
      <c r="K12" s="39"/>
      <c r="L12" s="39"/>
      <c r="M12" s="39"/>
      <c r="N12" s="39"/>
      <c r="O12" s="39"/>
      <c r="P12" s="40"/>
    </row>
    <row r="13" spans="1:16" s="46" customFormat="1" ht="20.100000000000001" customHeight="1">
      <c r="A13" s="41"/>
      <c r="B13" s="42" t="s">
        <v>115</v>
      </c>
      <c r="C13" s="43">
        <f t="shared" ref="C13:P13" si="0">SUM(C15:C33)</f>
        <v>1560549839</v>
      </c>
      <c r="D13" s="43">
        <f t="shared" si="0"/>
        <v>1335502383</v>
      </c>
      <c r="E13" s="43">
        <f t="shared" si="0"/>
        <v>22359258</v>
      </c>
      <c r="F13" s="44">
        <f t="shared" si="0"/>
        <v>33139182</v>
      </c>
      <c r="G13" s="43">
        <f t="shared" si="0"/>
        <v>64899476</v>
      </c>
      <c r="H13" s="45">
        <f t="shared" si="0"/>
        <v>12561215</v>
      </c>
      <c r="I13" s="43">
        <f t="shared" si="0"/>
        <v>0</v>
      </c>
      <c r="J13" s="43">
        <f t="shared" si="0"/>
        <v>0</v>
      </c>
      <c r="K13" s="43">
        <f t="shared" si="0"/>
        <v>565805</v>
      </c>
      <c r="L13" s="43">
        <f t="shared" si="0"/>
        <v>0</v>
      </c>
      <c r="M13" s="43">
        <f t="shared" si="0"/>
        <v>77120000</v>
      </c>
      <c r="N13" s="43">
        <f t="shared" si="0"/>
        <v>5282993</v>
      </c>
      <c r="O13" s="44">
        <f t="shared" si="0"/>
        <v>214525</v>
      </c>
      <c r="P13" s="43">
        <f t="shared" si="0"/>
        <v>8905002</v>
      </c>
    </row>
    <row r="14" spans="1:16" s="54" customFormat="1" ht="5.0999999999999996" customHeight="1">
      <c r="A14" s="47"/>
      <c r="B14" s="48"/>
      <c r="C14" s="49"/>
      <c r="D14" s="50"/>
      <c r="E14" s="51"/>
      <c r="F14" s="51"/>
      <c r="G14" s="52"/>
      <c r="H14" s="51"/>
      <c r="I14" s="51"/>
      <c r="J14" s="53"/>
      <c r="K14" s="51"/>
      <c r="L14" s="51"/>
      <c r="M14" s="51"/>
      <c r="N14" s="51"/>
      <c r="O14" s="51"/>
      <c r="P14" s="52"/>
    </row>
    <row r="15" spans="1:16" s="46" customFormat="1" ht="21" customHeight="1">
      <c r="A15" s="55" t="s">
        <v>61</v>
      </c>
      <c r="B15" s="56" t="s">
        <v>116</v>
      </c>
      <c r="C15" s="57">
        <f>SUM(D15:P15)</f>
        <v>16220000</v>
      </c>
      <c r="D15" s="58">
        <v>0</v>
      </c>
      <c r="E15" s="58">
        <v>8000000</v>
      </c>
      <c r="F15" s="59">
        <v>0</v>
      </c>
      <c r="G15" s="58">
        <v>5199000</v>
      </c>
      <c r="H15" s="60">
        <v>2971000</v>
      </c>
      <c r="I15" s="58">
        <v>0</v>
      </c>
      <c r="J15" s="61">
        <v>0</v>
      </c>
      <c r="K15" s="59">
        <v>0</v>
      </c>
      <c r="L15" s="59">
        <v>0</v>
      </c>
      <c r="M15" s="58">
        <f>50000</f>
        <v>50000</v>
      </c>
      <c r="N15" s="58">
        <v>0</v>
      </c>
      <c r="O15" s="60">
        <v>0</v>
      </c>
      <c r="P15" s="58">
        <v>0</v>
      </c>
    </row>
    <row r="16" spans="1:16" s="46" customFormat="1" ht="21" customHeight="1">
      <c r="A16" s="55" t="s">
        <v>21</v>
      </c>
      <c r="B16" s="56" t="s">
        <v>22</v>
      </c>
      <c r="C16" s="62">
        <f t="shared" ref="C16:C33" si="1">SUM(D16:P16)</f>
        <v>149000</v>
      </c>
      <c r="D16" s="58">
        <v>0</v>
      </c>
      <c r="E16" s="58">
        <v>0</v>
      </c>
      <c r="F16" s="60">
        <v>0</v>
      </c>
      <c r="G16" s="58">
        <v>42000</v>
      </c>
      <c r="H16" s="60">
        <v>18000</v>
      </c>
      <c r="I16" s="58">
        <v>0</v>
      </c>
      <c r="J16" s="61">
        <v>0</v>
      </c>
      <c r="K16" s="59">
        <v>0</v>
      </c>
      <c r="L16" s="59">
        <v>0</v>
      </c>
      <c r="M16" s="58">
        <v>89000</v>
      </c>
      <c r="N16" s="58">
        <v>0</v>
      </c>
      <c r="O16" s="60">
        <v>0</v>
      </c>
      <c r="P16" s="58">
        <v>0</v>
      </c>
    </row>
    <row r="17" spans="1:16" s="26" customFormat="1" ht="21" customHeight="1">
      <c r="A17" s="63" t="s">
        <v>23</v>
      </c>
      <c r="B17" s="64" t="s">
        <v>24</v>
      </c>
      <c r="C17" s="62">
        <f t="shared" si="1"/>
        <v>51258053</v>
      </c>
      <c r="D17" s="65">
        <v>0</v>
      </c>
      <c r="E17" s="65">
        <f>21963+75+168000+1190+5100000+24800+5500+17000+134000+30000+3750+2202775</f>
        <v>7709053</v>
      </c>
      <c r="F17" s="66">
        <v>0</v>
      </c>
      <c r="G17" s="65">
        <v>0</v>
      </c>
      <c r="H17" s="67">
        <v>0</v>
      </c>
      <c r="I17" s="65">
        <v>0</v>
      </c>
      <c r="J17" s="67">
        <v>0</v>
      </c>
      <c r="K17" s="65">
        <v>0</v>
      </c>
      <c r="L17" s="65">
        <v>0</v>
      </c>
      <c r="M17" s="65">
        <f>43221000+328000</f>
        <v>43549000</v>
      </c>
      <c r="N17" s="65">
        <v>0</v>
      </c>
      <c r="O17" s="66">
        <v>0</v>
      </c>
      <c r="P17" s="65">
        <v>0</v>
      </c>
    </row>
    <row r="18" spans="1:16" s="26" customFormat="1" ht="21" customHeight="1">
      <c r="A18" s="63" t="s">
        <v>55</v>
      </c>
      <c r="B18" s="64" t="s">
        <v>56</v>
      </c>
      <c r="C18" s="62">
        <f t="shared" si="1"/>
        <v>212400</v>
      </c>
      <c r="D18" s="65">
        <v>0</v>
      </c>
      <c r="E18" s="65">
        <v>400</v>
      </c>
      <c r="F18" s="66">
        <v>0</v>
      </c>
      <c r="G18" s="65">
        <v>0</v>
      </c>
      <c r="H18" s="67">
        <v>0</v>
      </c>
      <c r="I18" s="65">
        <v>0</v>
      </c>
      <c r="J18" s="67">
        <v>0</v>
      </c>
      <c r="K18" s="67">
        <v>0</v>
      </c>
      <c r="L18" s="65">
        <v>0</v>
      </c>
      <c r="M18" s="65">
        <v>212000</v>
      </c>
      <c r="N18" s="65">
        <v>0</v>
      </c>
      <c r="O18" s="66">
        <v>0</v>
      </c>
      <c r="P18" s="65">
        <v>0</v>
      </c>
    </row>
    <row r="19" spans="1:16" s="26" customFormat="1" ht="21" customHeight="1">
      <c r="A19" s="63" t="s">
        <v>25</v>
      </c>
      <c r="B19" s="64" t="s">
        <v>26</v>
      </c>
      <c r="C19" s="62">
        <f t="shared" si="1"/>
        <v>1170000</v>
      </c>
      <c r="D19" s="65">
        <v>0</v>
      </c>
      <c r="E19" s="65">
        <f>300000+120000+750000</f>
        <v>1170000</v>
      </c>
      <c r="F19" s="66">
        <v>0</v>
      </c>
      <c r="G19" s="65">
        <v>0</v>
      </c>
      <c r="H19" s="67">
        <v>0</v>
      </c>
      <c r="I19" s="65">
        <v>0</v>
      </c>
      <c r="J19" s="67">
        <v>0</v>
      </c>
      <c r="K19" s="65">
        <v>0</v>
      </c>
      <c r="L19" s="65">
        <v>0</v>
      </c>
      <c r="M19" s="65">
        <v>0</v>
      </c>
      <c r="N19" s="65">
        <v>0</v>
      </c>
      <c r="O19" s="66">
        <v>0</v>
      </c>
      <c r="P19" s="65">
        <v>0</v>
      </c>
    </row>
    <row r="20" spans="1:16" s="26" customFormat="1" ht="21" customHeight="1">
      <c r="A20" s="63" t="s">
        <v>27</v>
      </c>
      <c r="B20" s="64" t="s">
        <v>28</v>
      </c>
      <c r="C20" s="62">
        <f t="shared" si="1"/>
        <v>462600</v>
      </c>
      <c r="D20" s="65">
        <v>0</v>
      </c>
      <c r="E20" s="65">
        <f>4000+100+1500+20000</f>
        <v>25600</v>
      </c>
      <c r="F20" s="66">
        <v>0</v>
      </c>
      <c r="G20" s="65">
        <v>0</v>
      </c>
      <c r="H20" s="67">
        <v>0</v>
      </c>
      <c r="I20" s="65">
        <v>0</v>
      </c>
      <c r="J20" s="67">
        <v>0</v>
      </c>
      <c r="K20" s="65">
        <v>0</v>
      </c>
      <c r="L20" s="65">
        <v>0</v>
      </c>
      <c r="M20" s="65">
        <f>317000+120000</f>
        <v>437000</v>
      </c>
      <c r="N20" s="65">
        <v>0</v>
      </c>
      <c r="O20" s="66">
        <v>0</v>
      </c>
      <c r="P20" s="65">
        <v>0</v>
      </c>
    </row>
    <row r="21" spans="1:16" s="26" customFormat="1" ht="21" customHeight="1">
      <c r="A21" s="63" t="s">
        <v>29</v>
      </c>
      <c r="B21" s="64" t="s">
        <v>30</v>
      </c>
      <c r="C21" s="62">
        <f t="shared" si="1"/>
        <v>2051670</v>
      </c>
      <c r="D21" s="65">
        <v>0</v>
      </c>
      <c r="E21" s="65">
        <f>650+75000+80000+10450+36120+450</f>
        <v>202670</v>
      </c>
      <c r="F21" s="68">
        <v>0</v>
      </c>
      <c r="G21" s="65">
        <v>1243476</v>
      </c>
      <c r="H21" s="67">
        <v>316524</v>
      </c>
      <c r="I21" s="65">
        <v>0</v>
      </c>
      <c r="J21" s="67">
        <v>0</v>
      </c>
      <c r="K21" s="65">
        <v>0</v>
      </c>
      <c r="L21" s="65">
        <v>0</v>
      </c>
      <c r="M21" s="65">
        <f>87000+202000</f>
        <v>289000</v>
      </c>
      <c r="N21" s="65">
        <v>0</v>
      </c>
      <c r="O21" s="66">
        <v>0</v>
      </c>
      <c r="P21" s="65">
        <v>0</v>
      </c>
    </row>
    <row r="22" spans="1:16" s="26" customFormat="1" ht="21" customHeight="1">
      <c r="A22" s="63" t="s">
        <v>31</v>
      </c>
      <c r="B22" s="64" t="s">
        <v>32</v>
      </c>
      <c r="C22" s="62">
        <f t="shared" si="1"/>
        <v>5000</v>
      </c>
      <c r="D22" s="65">
        <v>0</v>
      </c>
      <c r="E22" s="65">
        <v>0</v>
      </c>
      <c r="F22" s="68">
        <v>0</v>
      </c>
      <c r="G22" s="65">
        <v>0</v>
      </c>
      <c r="H22" s="67">
        <v>0</v>
      </c>
      <c r="I22" s="65">
        <v>0</v>
      </c>
      <c r="J22" s="67">
        <v>0</v>
      </c>
      <c r="K22" s="65">
        <v>0</v>
      </c>
      <c r="L22" s="65">
        <v>0</v>
      </c>
      <c r="M22" s="65">
        <v>5000</v>
      </c>
      <c r="N22" s="65">
        <v>0</v>
      </c>
      <c r="O22" s="66">
        <v>0</v>
      </c>
      <c r="P22" s="65">
        <v>0</v>
      </c>
    </row>
    <row r="23" spans="1:16" s="26" customFormat="1" ht="66.75" customHeight="1">
      <c r="A23" s="63" t="s">
        <v>117</v>
      </c>
      <c r="B23" s="64" t="s">
        <v>118</v>
      </c>
      <c r="C23" s="62">
        <f t="shared" si="1"/>
        <v>799507011</v>
      </c>
      <c r="D23" s="65">
        <f>798545931</f>
        <v>798545931</v>
      </c>
      <c r="E23" s="65">
        <f>961080</f>
        <v>961080</v>
      </c>
      <c r="F23" s="66">
        <v>0</v>
      </c>
      <c r="G23" s="65">
        <v>0</v>
      </c>
      <c r="H23" s="67">
        <v>0</v>
      </c>
      <c r="I23" s="65">
        <v>0</v>
      </c>
      <c r="J23" s="67">
        <v>0</v>
      </c>
      <c r="K23" s="65">
        <v>0</v>
      </c>
      <c r="L23" s="65">
        <v>0</v>
      </c>
      <c r="M23" s="65">
        <v>0</v>
      </c>
      <c r="N23" s="65">
        <v>0</v>
      </c>
      <c r="O23" s="66">
        <v>0</v>
      </c>
      <c r="P23" s="65">
        <v>0</v>
      </c>
    </row>
    <row r="24" spans="1:16" s="26" customFormat="1" ht="18.75" customHeight="1">
      <c r="A24" s="63" t="s">
        <v>74</v>
      </c>
      <c r="B24" s="64" t="s">
        <v>75</v>
      </c>
      <c r="C24" s="62">
        <f t="shared" si="1"/>
        <v>633277618</v>
      </c>
      <c r="D24" s="65">
        <f>99914568+257177710+23480985+156383189</f>
        <v>536956452</v>
      </c>
      <c r="E24" s="65">
        <v>0</v>
      </c>
      <c r="F24" s="66">
        <f>2075572+1549223+25810306</f>
        <v>29435101</v>
      </c>
      <c r="G24" s="65">
        <f>56117701+2297299</f>
        <v>58415000</v>
      </c>
      <c r="H24" s="67">
        <f>481000+2590000+108000+177957+2568316+2545792</f>
        <v>8471065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8">
        <v>0</v>
      </c>
      <c r="P24" s="65">
        <v>0</v>
      </c>
    </row>
    <row r="25" spans="1:16" s="26" customFormat="1" ht="18.75" customHeight="1">
      <c r="A25" s="63" t="s">
        <v>33</v>
      </c>
      <c r="B25" s="64" t="s">
        <v>34</v>
      </c>
      <c r="C25" s="62">
        <f t="shared" si="1"/>
        <v>11272976</v>
      </c>
      <c r="D25" s="65">
        <v>0</v>
      </c>
      <c r="E25" s="65">
        <f>8750+2400+470+3000+104+834900+400+1400+2850+1700</f>
        <v>855974</v>
      </c>
      <c r="F25" s="66">
        <v>0</v>
      </c>
      <c r="G25" s="65">
        <v>0</v>
      </c>
      <c r="H25" s="67">
        <v>0</v>
      </c>
      <c r="I25" s="65">
        <v>0</v>
      </c>
      <c r="J25" s="67">
        <v>0</v>
      </c>
      <c r="K25" s="65">
        <v>0</v>
      </c>
      <c r="L25" s="65">
        <v>0</v>
      </c>
      <c r="M25" s="65">
        <f>662000</f>
        <v>662000</v>
      </c>
      <c r="N25" s="65">
        <f>120000+730000</f>
        <v>850000</v>
      </c>
      <c r="O25" s="66">
        <v>0</v>
      </c>
      <c r="P25" s="65">
        <v>8905002</v>
      </c>
    </row>
    <row r="26" spans="1:16" s="26" customFormat="1" ht="18.75" customHeight="1">
      <c r="A26" s="63" t="s">
        <v>35</v>
      </c>
      <c r="B26" s="64" t="s">
        <v>36</v>
      </c>
      <c r="C26" s="62">
        <f t="shared" si="1"/>
        <v>24978755</v>
      </c>
      <c r="D26" s="65">
        <v>0</v>
      </c>
      <c r="E26" s="65">
        <v>0</v>
      </c>
      <c r="F26" s="65">
        <v>0</v>
      </c>
      <c r="G26" s="65">
        <v>0</v>
      </c>
      <c r="H26" s="67">
        <v>0</v>
      </c>
      <c r="I26" s="65">
        <v>0</v>
      </c>
      <c r="J26" s="67">
        <v>0</v>
      </c>
      <c r="K26" s="65">
        <v>367755</v>
      </c>
      <c r="L26" s="65">
        <v>0</v>
      </c>
      <c r="M26" s="65">
        <f>24591000+20000</f>
        <v>24611000</v>
      </c>
      <c r="N26" s="65">
        <v>0</v>
      </c>
      <c r="O26" s="66">
        <v>0</v>
      </c>
      <c r="P26" s="65">
        <v>0</v>
      </c>
    </row>
    <row r="27" spans="1:16" s="26" customFormat="1" ht="18.75" customHeight="1">
      <c r="A27" s="63" t="s">
        <v>100</v>
      </c>
      <c r="B27" s="64" t="s">
        <v>83</v>
      </c>
      <c r="C27" s="62">
        <f t="shared" si="1"/>
        <v>182000</v>
      </c>
      <c r="D27" s="65">
        <v>0</v>
      </c>
      <c r="E27" s="65">
        <f>5000</f>
        <v>5000</v>
      </c>
      <c r="F27" s="68">
        <v>0</v>
      </c>
      <c r="G27" s="65">
        <v>0</v>
      </c>
      <c r="H27" s="67">
        <v>0</v>
      </c>
      <c r="I27" s="65">
        <v>0</v>
      </c>
      <c r="J27" s="67">
        <v>0</v>
      </c>
      <c r="K27" s="65">
        <v>0</v>
      </c>
      <c r="L27" s="65">
        <v>0</v>
      </c>
      <c r="M27" s="65">
        <v>100000</v>
      </c>
      <c r="N27" s="65">
        <v>77000</v>
      </c>
      <c r="O27" s="66">
        <v>0</v>
      </c>
      <c r="P27" s="65">
        <v>0</v>
      </c>
    </row>
    <row r="28" spans="1:16" s="26" customFormat="1" ht="29.25" customHeight="1">
      <c r="A28" s="63" t="s">
        <v>37</v>
      </c>
      <c r="B28" s="64" t="s">
        <v>119</v>
      </c>
      <c r="C28" s="62">
        <f t="shared" si="1"/>
        <v>6553757</v>
      </c>
      <c r="D28" s="65">
        <v>0</v>
      </c>
      <c r="E28" s="65">
        <f>440550+1620000+3500</f>
        <v>2064050</v>
      </c>
      <c r="F28" s="68">
        <v>3704081</v>
      </c>
      <c r="G28" s="65">
        <v>0</v>
      </c>
      <c r="H28" s="67">
        <v>784626</v>
      </c>
      <c r="I28" s="65">
        <v>0</v>
      </c>
      <c r="J28" s="67">
        <v>0</v>
      </c>
      <c r="K28" s="65">
        <v>0</v>
      </c>
      <c r="L28" s="65">
        <v>0</v>
      </c>
      <c r="M28" s="65">
        <v>1000</v>
      </c>
      <c r="N28" s="65">
        <v>0</v>
      </c>
      <c r="O28" s="66">
        <v>0</v>
      </c>
      <c r="P28" s="65">
        <v>0</v>
      </c>
    </row>
    <row r="29" spans="1:16" s="26" customFormat="1" ht="20.25" customHeight="1">
      <c r="A29" s="63" t="s">
        <v>7</v>
      </c>
      <c r="B29" s="64" t="s">
        <v>8</v>
      </c>
      <c r="C29" s="62">
        <f t="shared" si="1"/>
        <v>6950</v>
      </c>
      <c r="D29" s="65">
        <v>0</v>
      </c>
      <c r="E29" s="65">
        <f>6400+100+450</f>
        <v>6950</v>
      </c>
      <c r="F29" s="68">
        <v>0</v>
      </c>
      <c r="G29" s="65">
        <v>0</v>
      </c>
      <c r="H29" s="66">
        <v>0</v>
      </c>
      <c r="I29" s="65">
        <v>0</v>
      </c>
      <c r="J29" s="67">
        <v>0</v>
      </c>
      <c r="K29" s="68">
        <v>0</v>
      </c>
      <c r="L29" s="68">
        <v>0</v>
      </c>
      <c r="M29" s="65">
        <v>0</v>
      </c>
      <c r="N29" s="65">
        <v>0</v>
      </c>
      <c r="O29" s="66">
        <v>0</v>
      </c>
      <c r="P29" s="65">
        <v>0</v>
      </c>
    </row>
    <row r="30" spans="1:16" s="26" customFormat="1" ht="20.25" customHeight="1">
      <c r="A30" s="63" t="s">
        <v>52</v>
      </c>
      <c r="B30" s="64" t="s">
        <v>53</v>
      </c>
      <c r="C30" s="62">
        <f t="shared" si="1"/>
        <v>3735000</v>
      </c>
      <c r="D30" s="65">
        <v>0</v>
      </c>
      <c r="E30" s="65">
        <v>0</v>
      </c>
      <c r="F30" s="68">
        <v>0</v>
      </c>
      <c r="G30" s="65">
        <v>0</v>
      </c>
      <c r="H30" s="66">
        <v>0</v>
      </c>
      <c r="I30" s="65">
        <v>0</v>
      </c>
      <c r="J30" s="67">
        <v>0</v>
      </c>
      <c r="K30" s="68">
        <v>0</v>
      </c>
      <c r="L30" s="68">
        <v>0</v>
      </c>
      <c r="M30" s="65">
        <v>3735000</v>
      </c>
      <c r="N30" s="65">
        <v>0</v>
      </c>
      <c r="O30" s="66">
        <v>0</v>
      </c>
      <c r="P30" s="65">
        <v>0</v>
      </c>
    </row>
    <row r="31" spans="1:16" s="26" customFormat="1" ht="29.25" customHeight="1">
      <c r="A31" s="63" t="s">
        <v>38</v>
      </c>
      <c r="B31" s="64" t="s">
        <v>39</v>
      </c>
      <c r="C31" s="62">
        <f t="shared" si="1"/>
        <v>2886187</v>
      </c>
      <c r="D31" s="65">
        <v>0</v>
      </c>
      <c r="E31" s="65">
        <f>910000+47500+1770+101010+234907</f>
        <v>1295187</v>
      </c>
      <c r="F31" s="68">
        <v>0</v>
      </c>
      <c r="G31" s="65">
        <v>0</v>
      </c>
      <c r="H31" s="66">
        <v>0</v>
      </c>
      <c r="I31" s="65">
        <v>0</v>
      </c>
      <c r="J31" s="67">
        <v>0</v>
      </c>
      <c r="K31" s="65">
        <v>198050</v>
      </c>
      <c r="L31" s="65">
        <v>0</v>
      </c>
      <c r="M31" s="65">
        <f>2000+339000+59000+790000</f>
        <v>1190000</v>
      </c>
      <c r="N31" s="65">
        <v>0</v>
      </c>
      <c r="O31" s="66">
        <f>202950</f>
        <v>202950</v>
      </c>
      <c r="P31" s="65">
        <v>0</v>
      </c>
    </row>
    <row r="32" spans="1:16" s="26" customFormat="1" ht="29.25" customHeight="1">
      <c r="A32" s="63" t="s">
        <v>40</v>
      </c>
      <c r="B32" s="64" t="s">
        <v>41</v>
      </c>
      <c r="C32" s="62">
        <f t="shared" si="1"/>
        <v>4355993</v>
      </c>
      <c r="D32" s="65">
        <v>0</v>
      </c>
      <c r="E32" s="65">
        <v>0</v>
      </c>
      <c r="F32" s="68">
        <v>0</v>
      </c>
      <c r="G32" s="65">
        <v>0</v>
      </c>
      <c r="H32" s="66">
        <v>0</v>
      </c>
      <c r="I32" s="65">
        <v>0</v>
      </c>
      <c r="J32" s="67">
        <v>0</v>
      </c>
      <c r="K32" s="65">
        <v>0</v>
      </c>
      <c r="L32" s="65">
        <v>0</v>
      </c>
      <c r="M32" s="65">
        <v>0</v>
      </c>
      <c r="N32" s="65">
        <f>470000+85993+3800000</f>
        <v>4355993</v>
      </c>
      <c r="O32" s="66">
        <v>0</v>
      </c>
      <c r="P32" s="65">
        <v>0</v>
      </c>
    </row>
    <row r="33" spans="1:16" s="26" customFormat="1" ht="42.75" customHeight="1">
      <c r="A33" s="69" t="s">
        <v>120</v>
      </c>
      <c r="B33" s="70" t="s">
        <v>96</v>
      </c>
      <c r="C33" s="62">
        <f t="shared" si="1"/>
        <v>2264869</v>
      </c>
      <c r="D33" s="65">
        <v>0</v>
      </c>
      <c r="E33" s="65">
        <f>3294+60000</f>
        <v>63294</v>
      </c>
      <c r="F33" s="68">
        <v>0</v>
      </c>
      <c r="G33" s="65">
        <v>0</v>
      </c>
      <c r="H33" s="67">
        <v>0</v>
      </c>
      <c r="I33" s="65">
        <v>0</v>
      </c>
      <c r="J33" s="65">
        <v>0</v>
      </c>
      <c r="K33" s="65">
        <v>0</v>
      </c>
      <c r="L33" s="65">
        <v>0</v>
      </c>
      <c r="M33" s="65">
        <v>2190000</v>
      </c>
      <c r="N33" s="65"/>
      <c r="O33" s="68">
        <v>11575</v>
      </c>
      <c r="P33" s="65">
        <v>0</v>
      </c>
    </row>
    <row r="34" spans="1:16" s="54" customFormat="1" ht="5.0999999999999996" customHeight="1">
      <c r="A34" s="71"/>
      <c r="B34" s="72"/>
      <c r="C34" s="73"/>
      <c r="D34" s="74"/>
      <c r="E34" s="75"/>
      <c r="F34" s="75"/>
      <c r="G34" s="57"/>
      <c r="H34" s="75"/>
      <c r="I34" s="75"/>
      <c r="J34" s="76"/>
      <c r="K34" s="75"/>
      <c r="L34" s="75"/>
      <c r="M34" s="75"/>
      <c r="N34" s="75"/>
      <c r="O34" s="75"/>
      <c r="P34" s="57"/>
    </row>
    <row r="35" spans="1:16" s="46" customFormat="1" ht="20.100000000000001" customHeight="1">
      <c r="A35" s="77"/>
      <c r="B35" s="78" t="s">
        <v>121</v>
      </c>
      <c r="C35" s="79">
        <f t="shared" ref="C35:P35" si="2">SUM(C37:C42)</f>
        <v>206174122</v>
      </c>
      <c r="D35" s="79">
        <f t="shared" si="2"/>
        <v>0</v>
      </c>
      <c r="E35" s="79">
        <f t="shared" si="2"/>
        <v>69500</v>
      </c>
      <c r="F35" s="79">
        <f t="shared" si="2"/>
        <v>116327192</v>
      </c>
      <c r="G35" s="79">
        <f t="shared" si="2"/>
        <v>85000</v>
      </c>
      <c r="H35" s="79">
        <f t="shared" si="2"/>
        <v>20784935</v>
      </c>
      <c r="I35" s="79">
        <f t="shared" si="2"/>
        <v>0</v>
      </c>
      <c r="J35" s="79">
        <f t="shared" si="2"/>
        <v>0</v>
      </c>
      <c r="K35" s="79">
        <f t="shared" si="2"/>
        <v>0</v>
      </c>
      <c r="L35" s="79">
        <f t="shared" si="2"/>
        <v>0</v>
      </c>
      <c r="M35" s="79">
        <f t="shared" si="2"/>
        <v>0</v>
      </c>
      <c r="N35" s="79">
        <f t="shared" si="2"/>
        <v>33819855</v>
      </c>
      <c r="O35" s="79">
        <f t="shared" si="2"/>
        <v>35027788</v>
      </c>
      <c r="P35" s="79">
        <f t="shared" si="2"/>
        <v>59852</v>
      </c>
    </row>
    <row r="36" spans="1:16" s="54" customFormat="1" ht="5.0999999999999996" customHeight="1">
      <c r="A36" s="166"/>
      <c r="B36" s="167"/>
      <c r="C36" s="168"/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1"/>
    </row>
    <row r="37" spans="1:16" s="26" customFormat="1" ht="21" customHeight="1">
      <c r="A37" s="63" t="s">
        <v>23</v>
      </c>
      <c r="B37" s="64" t="s">
        <v>24</v>
      </c>
      <c r="C37" s="62">
        <f t="shared" ref="C37:C42" si="3">SUM(D37:P37)</f>
        <v>41030440</v>
      </c>
      <c r="D37" s="65">
        <v>0</v>
      </c>
      <c r="E37" s="65">
        <f>60000</f>
        <v>60000</v>
      </c>
      <c r="F37" s="68">
        <v>0</v>
      </c>
      <c r="G37" s="65">
        <v>0</v>
      </c>
      <c r="H37" s="66">
        <v>0</v>
      </c>
      <c r="I37" s="65">
        <v>0</v>
      </c>
      <c r="J37" s="66">
        <v>0</v>
      </c>
      <c r="K37" s="68">
        <v>0</v>
      </c>
      <c r="L37" s="68">
        <v>0</v>
      </c>
      <c r="M37" s="65">
        <v>0</v>
      </c>
      <c r="N37" s="65">
        <v>5942652</v>
      </c>
      <c r="O37" s="65">
        <f>28152788+6875000</f>
        <v>35027788</v>
      </c>
      <c r="P37" s="65">
        <v>0</v>
      </c>
    </row>
    <row r="38" spans="1:16" s="26" customFormat="1" ht="21" customHeight="1">
      <c r="A38" s="63" t="s">
        <v>25</v>
      </c>
      <c r="B38" s="64" t="s">
        <v>26</v>
      </c>
      <c r="C38" s="62">
        <f t="shared" si="3"/>
        <v>9500</v>
      </c>
      <c r="D38" s="65">
        <v>0</v>
      </c>
      <c r="E38" s="65">
        <v>9500</v>
      </c>
      <c r="F38" s="68">
        <v>0</v>
      </c>
      <c r="G38" s="65">
        <v>0</v>
      </c>
      <c r="H38" s="67">
        <v>0</v>
      </c>
      <c r="I38" s="65">
        <v>0</v>
      </c>
      <c r="J38" s="67">
        <v>0</v>
      </c>
      <c r="K38" s="65">
        <v>0</v>
      </c>
      <c r="L38" s="65">
        <v>0</v>
      </c>
      <c r="M38" s="65">
        <v>0</v>
      </c>
      <c r="N38" s="65">
        <v>0</v>
      </c>
      <c r="O38" s="66">
        <v>0</v>
      </c>
      <c r="P38" s="65">
        <v>0</v>
      </c>
    </row>
    <row r="39" spans="1:16" s="26" customFormat="1" ht="21" customHeight="1">
      <c r="A39" s="63" t="s">
        <v>74</v>
      </c>
      <c r="B39" s="64" t="s">
        <v>75</v>
      </c>
      <c r="C39" s="62">
        <f t="shared" si="3"/>
        <v>137197127</v>
      </c>
      <c r="D39" s="65">
        <v>0</v>
      </c>
      <c r="E39" s="65">
        <v>0</v>
      </c>
      <c r="F39" s="66">
        <f>110854494+5472698</f>
        <v>116327192</v>
      </c>
      <c r="G39" s="65">
        <v>85000</v>
      </c>
      <c r="H39" s="67">
        <f>8248000+892000+11378935+266000</f>
        <v>20784935</v>
      </c>
      <c r="I39" s="65">
        <v>0</v>
      </c>
      <c r="J39" s="67">
        <v>0</v>
      </c>
      <c r="K39" s="68">
        <v>0</v>
      </c>
      <c r="L39" s="68">
        <v>0</v>
      </c>
      <c r="M39" s="65">
        <v>0</v>
      </c>
      <c r="N39" s="65">
        <v>0</v>
      </c>
      <c r="O39" s="68">
        <v>0</v>
      </c>
      <c r="P39" s="65">
        <v>0</v>
      </c>
    </row>
    <row r="40" spans="1:16" s="26" customFormat="1" ht="18.75" customHeight="1">
      <c r="A40" s="63" t="s">
        <v>33</v>
      </c>
      <c r="B40" s="64" t="s">
        <v>34</v>
      </c>
      <c r="C40" s="62">
        <f t="shared" si="3"/>
        <v>59852</v>
      </c>
      <c r="D40" s="65">
        <v>0</v>
      </c>
      <c r="E40" s="65">
        <v>0</v>
      </c>
      <c r="F40" s="66">
        <v>0</v>
      </c>
      <c r="G40" s="65">
        <v>0</v>
      </c>
      <c r="H40" s="67">
        <v>0</v>
      </c>
      <c r="I40" s="65">
        <v>0</v>
      </c>
      <c r="J40" s="67">
        <v>0</v>
      </c>
      <c r="K40" s="65">
        <v>0</v>
      </c>
      <c r="L40" s="65">
        <v>0</v>
      </c>
      <c r="M40" s="65">
        <v>0</v>
      </c>
      <c r="N40" s="65">
        <v>0</v>
      </c>
      <c r="O40" s="66">
        <v>0</v>
      </c>
      <c r="P40" s="65">
        <v>59852</v>
      </c>
    </row>
    <row r="41" spans="1:16" s="26" customFormat="1" ht="30" customHeight="1">
      <c r="A41" s="63" t="s">
        <v>40</v>
      </c>
      <c r="B41" s="64" t="s">
        <v>41</v>
      </c>
      <c r="C41" s="62">
        <f t="shared" si="3"/>
        <v>27877203</v>
      </c>
      <c r="D41" s="65">
        <v>0</v>
      </c>
      <c r="E41" s="65">
        <v>0</v>
      </c>
      <c r="F41" s="68">
        <v>0</v>
      </c>
      <c r="G41" s="65">
        <v>0</v>
      </c>
      <c r="H41" s="66">
        <v>0</v>
      </c>
      <c r="I41" s="65">
        <v>0</v>
      </c>
      <c r="J41" s="67">
        <v>0</v>
      </c>
      <c r="K41" s="68">
        <v>0</v>
      </c>
      <c r="L41" s="68">
        <v>0</v>
      </c>
      <c r="M41" s="65">
        <v>0</v>
      </c>
      <c r="N41" s="65">
        <v>27877203</v>
      </c>
      <c r="O41" s="66">
        <v>0</v>
      </c>
      <c r="P41" s="65">
        <v>0</v>
      </c>
    </row>
    <row r="42" spans="1:16" s="26" customFormat="1" ht="59.25" hidden="1" customHeight="1">
      <c r="A42" s="80" t="s">
        <v>120</v>
      </c>
      <c r="B42" s="81" t="s">
        <v>96</v>
      </c>
      <c r="C42" s="82">
        <f t="shared" si="3"/>
        <v>0</v>
      </c>
      <c r="D42" s="83">
        <v>0</v>
      </c>
      <c r="E42" s="83">
        <v>0</v>
      </c>
      <c r="F42" s="84">
        <v>0</v>
      </c>
      <c r="G42" s="83">
        <v>0</v>
      </c>
      <c r="H42" s="85">
        <v>0</v>
      </c>
      <c r="I42" s="86">
        <v>0</v>
      </c>
      <c r="J42" s="87">
        <v>0</v>
      </c>
      <c r="K42" s="84">
        <v>0</v>
      </c>
      <c r="L42" s="84">
        <v>0</v>
      </c>
      <c r="M42" s="83">
        <v>0</v>
      </c>
      <c r="N42" s="83">
        <v>0</v>
      </c>
      <c r="O42" s="85">
        <v>0</v>
      </c>
      <c r="P42" s="83">
        <v>0</v>
      </c>
    </row>
    <row r="43" spans="1:16" s="91" customFormat="1" ht="29.25" customHeight="1">
      <c r="A43" s="912" t="s">
        <v>122</v>
      </c>
      <c r="B43" s="913"/>
      <c r="C43" s="88">
        <f t="shared" ref="C43:P43" si="4">C13+C35</f>
        <v>1766723961</v>
      </c>
      <c r="D43" s="88">
        <f t="shared" si="4"/>
        <v>1335502383</v>
      </c>
      <c r="E43" s="88">
        <f t="shared" si="4"/>
        <v>22428758</v>
      </c>
      <c r="F43" s="89">
        <f t="shared" si="4"/>
        <v>149466374</v>
      </c>
      <c r="G43" s="88">
        <f t="shared" si="4"/>
        <v>64984476</v>
      </c>
      <c r="H43" s="90">
        <f t="shared" si="4"/>
        <v>33346150</v>
      </c>
      <c r="I43" s="88">
        <f t="shared" si="4"/>
        <v>0</v>
      </c>
      <c r="J43" s="88">
        <f t="shared" si="4"/>
        <v>0</v>
      </c>
      <c r="K43" s="88">
        <f t="shared" si="4"/>
        <v>565805</v>
      </c>
      <c r="L43" s="88">
        <f t="shared" si="4"/>
        <v>0</v>
      </c>
      <c r="M43" s="88">
        <f t="shared" si="4"/>
        <v>77120000</v>
      </c>
      <c r="N43" s="88">
        <f t="shared" si="4"/>
        <v>39102848</v>
      </c>
      <c r="O43" s="89">
        <f t="shared" si="4"/>
        <v>35242313</v>
      </c>
      <c r="P43" s="88">
        <f t="shared" si="4"/>
        <v>8964854</v>
      </c>
    </row>
  </sheetData>
  <sheetProtection algorithmName="SHA-512" hashValue="ggZc7EY+JsgiN9r3HmEbUBbLqXEhzZcAAWqGrPC0DUMZh4VqljtQtt6T6VuWbxMY7pTXifKQMZl7+2AUSSYsDQ==" saltValue="CGXRe2q9gsV59MuCEm8ICw==" spinCount="100000" sheet="1" objects="1" scenarios="1"/>
  <mergeCells count="21">
    <mergeCell ref="A43:B43"/>
    <mergeCell ref="F9:F10"/>
    <mergeCell ref="G9:H9"/>
    <mergeCell ref="I9:I10"/>
    <mergeCell ref="J9:J10"/>
    <mergeCell ref="D7:D10"/>
    <mergeCell ref="E7:E10"/>
    <mergeCell ref="F7:P7"/>
    <mergeCell ref="N9:N10"/>
    <mergeCell ref="M9:M10"/>
    <mergeCell ref="A4:P4"/>
    <mergeCell ref="A5:P5"/>
    <mergeCell ref="A7:A10"/>
    <mergeCell ref="B7:B10"/>
    <mergeCell ref="C7:C10"/>
    <mergeCell ref="P9:P10"/>
    <mergeCell ref="O9:O10"/>
    <mergeCell ref="M8:P8"/>
    <mergeCell ref="L9:L10"/>
    <mergeCell ref="F8:L8"/>
    <mergeCell ref="K9:K10"/>
  </mergeCells>
  <printOptions horizontalCentered="1"/>
  <pageMargins left="0.74803149606299213" right="0.74803149606299213" top="0.98425196850393704" bottom="0.74803149606299213" header="0.31496062992125984" footer="0.31496062992125984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81"/>
  <sheetViews>
    <sheetView view="pageBreakPreview" zoomScaleNormal="75" zoomScaleSheetLayoutView="100" workbookViewId="0">
      <selection activeCell="G27" sqref="G27"/>
    </sheetView>
  </sheetViews>
  <sheetFormatPr defaultColWidth="8" defaultRowHeight="15"/>
  <cols>
    <col min="1" max="1" width="2.25" style="787" customWidth="1"/>
    <col min="2" max="2" width="3.375" style="787" customWidth="1"/>
    <col min="3" max="3" width="3.5" style="787" customWidth="1"/>
    <col min="4" max="4" width="5.375" style="787" customWidth="1"/>
    <col min="5" max="5" width="9.625" style="788" customWidth="1"/>
    <col min="6" max="6" width="49.375" style="783" customWidth="1"/>
    <col min="7" max="7" width="12.375" style="782" customWidth="1"/>
    <col min="8" max="8" width="12.625" style="784" customWidth="1"/>
    <col min="9" max="13" width="12.25" style="784" customWidth="1"/>
    <col min="14" max="16384" width="8" style="4"/>
  </cols>
  <sheetData>
    <row r="1" spans="1:13" s="304" customFormat="1" ht="15" customHeight="1">
      <c r="D1" s="305"/>
      <c r="E1" s="306"/>
      <c r="F1" s="307"/>
      <c r="G1" s="308"/>
      <c r="H1" s="1005"/>
      <c r="I1" s="1005"/>
      <c r="J1" s="1005"/>
      <c r="K1" s="1005" t="s">
        <v>912</v>
      </c>
      <c r="L1" s="1005"/>
      <c r="M1" s="1005"/>
    </row>
    <row r="2" spans="1:13" s="304" customFormat="1" ht="12.75" customHeight="1">
      <c r="C2" s="695" t="s">
        <v>913</v>
      </c>
      <c r="D2" s="695"/>
      <c r="E2" s="306"/>
      <c r="F2" s="307"/>
      <c r="G2" s="308"/>
      <c r="H2" s="307"/>
      <c r="I2" s="696"/>
      <c r="J2" s="696"/>
      <c r="K2" s="307" t="s">
        <v>914</v>
      </c>
      <c r="L2" s="696"/>
      <c r="M2" s="696"/>
    </row>
    <row r="3" spans="1:13" s="304" customFormat="1" ht="15" customHeight="1">
      <c r="D3" s="695"/>
      <c r="E3" s="306"/>
      <c r="F3" s="307"/>
      <c r="G3" s="308"/>
      <c r="H3" s="307"/>
      <c r="I3" s="696"/>
      <c r="J3" s="696"/>
      <c r="K3" s="307" t="s">
        <v>915</v>
      </c>
      <c r="L3" s="696"/>
      <c r="M3" s="696"/>
    </row>
    <row r="4" spans="1:13" s="304" customFormat="1" ht="15.75" customHeight="1">
      <c r="A4" s="1028" t="s">
        <v>916</v>
      </c>
      <c r="B4" s="1028"/>
      <c r="C4" s="1028"/>
      <c r="D4" s="1028"/>
      <c r="E4" s="1028"/>
      <c r="F4" s="1028"/>
      <c r="G4" s="1028"/>
      <c r="H4" s="1028"/>
      <c r="I4" s="1028"/>
      <c r="J4" s="1028"/>
      <c r="K4" s="1028"/>
      <c r="L4" s="1028"/>
      <c r="M4" s="1028"/>
    </row>
    <row r="5" spans="1:13" s="304" customFormat="1" ht="15" customHeight="1">
      <c r="A5" s="1028" t="s">
        <v>277</v>
      </c>
      <c r="B5" s="1028"/>
      <c r="C5" s="1028"/>
      <c r="D5" s="1028"/>
      <c r="E5" s="1028"/>
      <c r="F5" s="1028"/>
      <c r="G5" s="1028"/>
      <c r="H5" s="1028"/>
      <c r="I5" s="1028"/>
      <c r="J5" s="1028"/>
      <c r="K5" s="1028"/>
      <c r="L5" s="1028"/>
      <c r="M5" s="1028"/>
    </row>
    <row r="6" spans="1:13" s="304" customFormat="1" ht="16.5" customHeight="1">
      <c r="A6" s="697"/>
      <c r="B6" s="697"/>
      <c r="C6" s="697"/>
      <c r="D6" s="697"/>
      <c r="E6" s="698"/>
      <c r="F6" s="696"/>
      <c r="G6" s="699"/>
      <c r="H6" s="305"/>
      <c r="I6" s="305"/>
      <c r="J6" s="305"/>
      <c r="K6" s="305"/>
      <c r="L6" s="305"/>
      <c r="M6" s="305" t="s">
        <v>15</v>
      </c>
    </row>
    <row r="7" spans="1:13" s="700" customFormat="1" ht="30.75" customHeight="1">
      <c r="A7" s="1029" t="s">
        <v>917</v>
      </c>
      <c r="B7" s="1030"/>
      <c r="C7" s="1029" t="s">
        <v>918</v>
      </c>
      <c r="D7" s="1030"/>
      <c r="E7" s="1029" t="s">
        <v>919</v>
      </c>
      <c r="F7" s="1035"/>
      <c r="G7" s="1038" t="s">
        <v>17</v>
      </c>
      <c r="H7" s="1041" t="s">
        <v>920</v>
      </c>
      <c r="I7" s="1042"/>
      <c r="J7" s="1043"/>
      <c r="K7" s="1041" t="s">
        <v>921</v>
      </c>
      <c r="L7" s="1042"/>
      <c r="M7" s="1043"/>
    </row>
    <row r="8" spans="1:13" s="700" customFormat="1" ht="15.75" customHeight="1">
      <c r="A8" s="1031"/>
      <c r="B8" s="1032"/>
      <c r="C8" s="1031"/>
      <c r="D8" s="1032"/>
      <c r="E8" s="1036"/>
      <c r="F8" s="1037"/>
      <c r="G8" s="1039"/>
      <c r="H8" s="1019" t="s">
        <v>922</v>
      </c>
      <c r="I8" s="701" t="s">
        <v>305</v>
      </c>
      <c r="J8" s="702"/>
      <c r="K8" s="1019" t="s">
        <v>922</v>
      </c>
      <c r="L8" s="701" t="s">
        <v>305</v>
      </c>
      <c r="M8" s="702"/>
    </row>
    <row r="9" spans="1:13" s="700" customFormat="1" ht="30" customHeight="1">
      <c r="A9" s="1033"/>
      <c r="B9" s="1034"/>
      <c r="C9" s="1033"/>
      <c r="D9" s="1034"/>
      <c r="E9" s="703" t="s">
        <v>923</v>
      </c>
      <c r="F9" s="704"/>
      <c r="G9" s="1040"/>
      <c r="H9" s="1020"/>
      <c r="I9" s="702" t="s">
        <v>924</v>
      </c>
      <c r="J9" s="705" t="s">
        <v>925</v>
      </c>
      <c r="K9" s="1020"/>
      <c r="L9" s="702" t="s">
        <v>924</v>
      </c>
      <c r="M9" s="705" t="s">
        <v>925</v>
      </c>
    </row>
    <row r="10" spans="1:13" s="708" customFormat="1" ht="11.25">
      <c r="A10" s="1021">
        <v>1</v>
      </c>
      <c r="B10" s="1022"/>
      <c r="C10" s="1021">
        <v>2</v>
      </c>
      <c r="D10" s="1022"/>
      <c r="E10" s="706">
        <v>3</v>
      </c>
      <c r="F10" s="706">
        <v>4</v>
      </c>
      <c r="G10" s="706">
        <v>5</v>
      </c>
      <c r="H10" s="707">
        <v>6</v>
      </c>
      <c r="I10" s="707">
        <v>7</v>
      </c>
      <c r="J10" s="707">
        <v>8</v>
      </c>
      <c r="K10" s="707">
        <v>9</v>
      </c>
      <c r="L10" s="707">
        <v>10</v>
      </c>
      <c r="M10" s="707">
        <v>11</v>
      </c>
    </row>
    <row r="11" spans="1:13" s="715" customFormat="1" ht="5.25" customHeight="1">
      <c r="A11" s="709"/>
      <c r="B11" s="710"/>
      <c r="C11" s="710"/>
      <c r="D11" s="710"/>
      <c r="E11" s="711"/>
      <c r="F11" s="711"/>
      <c r="G11" s="712"/>
      <c r="H11" s="713"/>
      <c r="I11" s="713"/>
      <c r="J11" s="713"/>
      <c r="K11" s="713"/>
      <c r="L11" s="713"/>
      <c r="M11" s="714"/>
    </row>
    <row r="12" spans="1:13" s="718" customFormat="1" ht="18" customHeight="1">
      <c r="A12" s="1023" t="s">
        <v>316</v>
      </c>
      <c r="B12" s="1024"/>
      <c r="C12" s="1024"/>
      <c r="D12" s="1024"/>
      <c r="E12" s="1024"/>
      <c r="F12" s="1025"/>
      <c r="G12" s="716">
        <f>H12+K12</f>
        <v>646808779</v>
      </c>
      <c r="H12" s="717">
        <f>I12+J12</f>
        <v>363247442</v>
      </c>
      <c r="I12" s="717">
        <f>I14+I22+I51</f>
        <v>197040209</v>
      </c>
      <c r="J12" s="717">
        <f>J14+J22+J51</f>
        <v>166207233</v>
      </c>
      <c r="K12" s="717">
        <f>L12+M12</f>
        <v>283561337</v>
      </c>
      <c r="L12" s="717">
        <f>L14+L22+L51</f>
        <v>772720</v>
      </c>
      <c r="M12" s="717">
        <f>M14+M22+M51</f>
        <v>282788617</v>
      </c>
    </row>
    <row r="13" spans="1:13" s="720" customFormat="1" ht="5.25" customHeight="1">
      <c r="A13" s="719"/>
      <c r="E13" s="721"/>
      <c r="F13" s="722"/>
      <c r="G13" s="723"/>
      <c r="H13" s="724"/>
      <c r="I13" s="724"/>
      <c r="J13" s="724"/>
      <c r="K13" s="724"/>
      <c r="L13" s="724"/>
      <c r="M13" s="725"/>
    </row>
    <row r="14" spans="1:13" s="728" customFormat="1" ht="18" customHeight="1">
      <c r="A14" s="1026" t="s">
        <v>926</v>
      </c>
      <c r="B14" s="1027"/>
      <c r="C14" s="1027"/>
      <c r="D14" s="1027"/>
      <c r="E14" s="1027"/>
      <c r="F14" s="1027"/>
      <c r="G14" s="726">
        <f>H14+K14</f>
        <v>218100000</v>
      </c>
      <c r="H14" s="727">
        <f>I14+J14</f>
        <v>0</v>
      </c>
      <c r="I14" s="726">
        <f>I16+I17+I18+I19+I20</f>
        <v>0</v>
      </c>
      <c r="J14" s="726">
        <f>J16+J17+J18+J19+J20</f>
        <v>0</v>
      </c>
      <c r="K14" s="726">
        <f>L14+M14</f>
        <v>218100000</v>
      </c>
      <c r="L14" s="726">
        <f>L16+L17+L18+L19+L20</f>
        <v>0</v>
      </c>
      <c r="M14" s="726">
        <f>M16+M17+M18+M19+M20</f>
        <v>218100000</v>
      </c>
    </row>
    <row r="15" spans="1:13" s="720" customFormat="1" ht="5.25" customHeight="1">
      <c r="A15" s="729"/>
      <c r="B15" s="730"/>
      <c r="C15" s="730"/>
      <c r="D15" s="730"/>
      <c r="E15" s="731"/>
      <c r="F15" s="731"/>
      <c r="G15" s="732"/>
      <c r="H15" s="733"/>
      <c r="I15" s="733"/>
      <c r="J15" s="733"/>
      <c r="K15" s="733"/>
      <c r="L15" s="733"/>
      <c r="M15" s="734"/>
    </row>
    <row r="16" spans="1:13" s="736" customFormat="1" ht="18" customHeight="1">
      <c r="A16" s="1044" t="s">
        <v>23</v>
      </c>
      <c r="B16" s="1045"/>
      <c r="C16" s="1044" t="s">
        <v>325</v>
      </c>
      <c r="D16" s="1045"/>
      <c r="E16" s="1046" t="s">
        <v>927</v>
      </c>
      <c r="F16" s="1047"/>
      <c r="G16" s="735">
        <f t="shared" ref="G16:G20" si="0">H16+K16</f>
        <v>66000000</v>
      </c>
      <c r="H16" s="735">
        <f t="shared" ref="H16:H20" si="1">I16+J16</f>
        <v>0</v>
      </c>
      <c r="I16" s="735">
        <v>0</v>
      </c>
      <c r="J16" s="735">
        <v>0</v>
      </c>
      <c r="K16" s="735">
        <f>L16+M16</f>
        <v>66000000</v>
      </c>
      <c r="L16" s="735">
        <v>0</v>
      </c>
      <c r="M16" s="735">
        <v>66000000</v>
      </c>
    </row>
    <row r="17" spans="1:13" s="736" customFormat="1" ht="18" customHeight="1">
      <c r="A17" s="1044"/>
      <c r="B17" s="1045"/>
      <c r="C17" s="1044"/>
      <c r="D17" s="1045"/>
      <c r="E17" s="1046" t="s">
        <v>928</v>
      </c>
      <c r="F17" s="1047"/>
      <c r="G17" s="735">
        <f t="shared" si="0"/>
        <v>42000000</v>
      </c>
      <c r="H17" s="735">
        <f t="shared" si="1"/>
        <v>0</v>
      </c>
      <c r="I17" s="735">
        <v>0</v>
      </c>
      <c r="J17" s="735">
        <v>0</v>
      </c>
      <c r="K17" s="735">
        <f>L17+M17</f>
        <v>42000000</v>
      </c>
      <c r="L17" s="735">
        <v>0</v>
      </c>
      <c r="M17" s="735">
        <v>42000000</v>
      </c>
    </row>
    <row r="18" spans="1:13" s="736" customFormat="1" ht="18" customHeight="1">
      <c r="A18" s="1044"/>
      <c r="B18" s="1045"/>
      <c r="C18" s="1044"/>
      <c r="D18" s="1045"/>
      <c r="E18" s="1046" t="s">
        <v>929</v>
      </c>
      <c r="F18" s="1047"/>
      <c r="G18" s="735">
        <f t="shared" si="0"/>
        <v>43000000</v>
      </c>
      <c r="H18" s="735">
        <f t="shared" si="1"/>
        <v>0</v>
      </c>
      <c r="I18" s="735">
        <v>0</v>
      </c>
      <c r="J18" s="735">
        <v>0</v>
      </c>
      <c r="K18" s="735">
        <f t="shared" ref="K18:K20" si="2">L18+M18</f>
        <v>43000000</v>
      </c>
      <c r="L18" s="735">
        <v>0</v>
      </c>
      <c r="M18" s="735">
        <v>43000000</v>
      </c>
    </row>
    <row r="19" spans="1:13" s="736" customFormat="1" ht="18" customHeight="1">
      <c r="A19" s="1044"/>
      <c r="B19" s="1045"/>
      <c r="C19" s="1044"/>
      <c r="D19" s="1045"/>
      <c r="E19" s="1046" t="s">
        <v>930</v>
      </c>
      <c r="F19" s="1047"/>
      <c r="G19" s="735">
        <f t="shared" si="0"/>
        <v>38600000</v>
      </c>
      <c r="H19" s="735">
        <f t="shared" si="1"/>
        <v>0</v>
      </c>
      <c r="I19" s="735">
        <v>0</v>
      </c>
      <c r="J19" s="735">
        <v>0</v>
      </c>
      <c r="K19" s="735">
        <f t="shared" si="2"/>
        <v>38600000</v>
      </c>
      <c r="L19" s="735">
        <v>0</v>
      </c>
      <c r="M19" s="735">
        <v>38600000</v>
      </c>
    </row>
    <row r="20" spans="1:13" s="736" customFormat="1" ht="30" customHeight="1">
      <c r="A20" s="1044"/>
      <c r="B20" s="1045"/>
      <c r="C20" s="1044"/>
      <c r="D20" s="1045"/>
      <c r="E20" s="1046" t="s">
        <v>931</v>
      </c>
      <c r="F20" s="1047"/>
      <c r="G20" s="735">
        <f t="shared" si="0"/>
        <v>28500000</v>
      </c>
      <c r="H20" s="735">
        <f t="shared" si="1"/>
        <v>0</v>
      </c>
      <c r="I20" s="735">
        <v>0</v>
      </c>
      <c r="J20" s="735">
        <v>0</v>
      </c>
      <c r="K20" s="735">
        <f t="shared" si="2"/>
        <v>28500000</v>
      </c>
      <c r="L20" s="735">
        <v>0</v>
      </c>
      <c r="M20" s="735">
        <v>28500000</v>
      </c>
    </row>
    <row r="21" spans="1:13" s="720" customFormat="1" ht="5.25" customHeight="1">
      <c r="A21" s="737"/>
      <c r="B21" s="738"/>
      <c r="C21" s="738"/>
      <c r="D21" s="738"/>
      <c r="E21" s="739"/>
      <c r="F21" s="740"/>
      <c r="G21" s="741"/>
      <c r="H21" s="742"/>
      <c r="I21" s="742"/>
      <c r="J21" s="742"/>
      <c r="K21" s="742"/>
      <c r="L21" s="742"/>
      <c r="M21" s="743"/>
    </row>
    <row r="22" spans="1:13" s="728" customFormat="1" ht="18" customHeight="1">
      <c r="A22" s="1026" t="s">
        <v>932</v>
      </c>
      <c r="B22" s="1027"/>
      <c r="C22" s="1027"/>
      <c r="D22" s="1027"/>
      <c r="E22" s="1027"/>
      <c r="F22" s="1027"/>
      <c r="G22" s="744">
        <f>H22+K22</f>
        <v>142827500</v>
      </c>
      <c r="H22" s="744">
        <f>I22+J22</f>
        <v>142827500</v>
      </c>
      <c r="I22" s="744">
        <f>I24</f>
        <v>0</v>
      </c>
      <c r="J22" s="744">
        <f>J24</f>
        <v>142827500</v>
      </c>
      <c r="K22" s="744">
        <f>L22+M22</f>
        <v>0</v>
      </c>
      <c r="L22" s="744">
        <f>L24</f>
        <v>0</v>
      </c>
      <c r="M22" s="744">
        <f>M24</f>
        <v>0</v>
      </c>
    </row>
    <row r="23" spans="1:13" s="720" customFormat="1" ht="5.25" customHeight="1">
      <c r="A23" s="729"/>
      <c r="B23" s="730"/>
      <c r="C23" s="730"/>
      <c r="D23" s="730"/>
      <c r="E23" s="731"/>
      <c r="F23" s="731"/>
      <c r="G23" s="732"/>
      <c r="H23" s="733"/>
      <c r="I23" s="733"/>
      <c r="J23" s="733"/>
      <c r="K23" s="733"/>
      <c r="L23" s="733"/>
      <c r="M23" s="734"/>
    </row>
    <row r="24" spans="1:13" s="746" customFormat="1" ht="18" customHeight="1">
      <c r="A24" s="1054" t="s">
        <v>933</v>
      </c>
      <c r="B24" s="1055"/>
      <c r="C24" s="1055"/>
      <c r="D24" s="1055"/>
      <c r="E24" s="1055"/>
      <c r="F24" s="1056"/>
      <c r="G24" s="745">
        <f>H24+K24</f>
        <v>142827500</v>
      </c>
      <c r="H24" s="745">
        <f>I24+J24</f>
        <v>142827500</v>
      </c>
      <c r="I24" s="745">
        <f>I26+I27+I28+I29+I30+I31+I32+I33+I34+I37+I38+I39+I40+I41+I44+I47+I48+I49</f>
        <v>0</v>
      </c>
      <c r="J24" s="745">
        <f>J26+J27+J28+J29+J30+J31+J32+J33+J34+J37+J38+J39+J40+J41+J44+J47+J48+J49</f>
        <v>142827500</v>
      </c>
      <c r="K24" s="745">
        <f>L24+M24</f>
        <v>0</v>
      </c>
      <c r="L24" s="745">
        <f>L26+L27+L28+L29+L30+L31+L32+L33+L34+L37+L38+L39+L40+L41+L44+L47+L48+L49</f>
        <v>0</v>
      </c>
      <c r="M24" s="745">
        <f>M26+M27+M28+M29+M30+M31+M32+M33+M34+M37+M38+M39+M40+M41+M44+M47+M48+M49</f>
        <v>0</v>
      </c>
    </row>
    <row r="25" spans="1:13" s="752" customFormat="1" ht="5.25" customHeight="1">
      <c r="A25" s="747"/>
      <c r="B25" s="748"/>
      <c r="C25" s="748"/>
      <c r="D25" s="748"/>
      <c r="E25" s="748"/>
      <c r="F25" s="748"/>
      <c r="G25" s="749"/>
      <c r="H25" s="750"/>
      <c r="I25" s="750"/>
      <c r="J25" s="750"/>
      <c r="K25" s="750"/>
      <c r="L25" s="750"/>
      <c r="M25" s="751"/>
    </row>
    <row r="26" spans="1:13" s="304" customFormat="1" ht="18" customHeight="1">
      <c r="A26" s="1057" t="s">
        <v>40</v>
      </c>
      <c r="B26" s="1058"/>
      <c r="C26" s="1057" t="s">
        <v>463</v>
      </c>
      <c r="D26" s="1058"/>
      <c r="E26" s="1050" t="s">
        <v>934</v>
      </c>
      <c r="F26" s="1051"/>
      <c r="G26" s="753">
        <f t="shared" ref="G26:G49" si="3">H26+K26</f>
        <v>12727000</v>
      </c>
      <c r="H26" s="753">
        <f t="shared" ref="H26:H49" si="4">I26+J26</f>
        <v>12727000</v>
      </c>
      <c r="I26" s="753">
        <v>0</v>
      </c>
      <c r="J26" s="753">
        <v>12727000</v>
      </c>
      <c r="K26" s="753">
        <f t="shared" ref="K26:K34" si="5">L26+M26</f>
        <v>0</v>
      </c>
      <c r="L26" s="753">
        <v>0</v>
      </c>
      <c r="M26" s="753">
        <v>0</v>
      </c>
    </row>
    <row r="27" spans="1:13" s="304" customFormat="1" ht="18" customHeight="1">
      <c r="A27" s="1048"/>
      <c r="B27" s="1049"/>
      <c r="C27" s="1048"/>
      <c r="D27" s="1049"/>
      <c r="E27" s="1050" t="s">
        <v>935</v>
      </c>
      <c r="F27" s="1051"/>
      <c r="G27" s="753">
        <f t="shared" si="3"/>
        <v>32492000</v>
      </c>
      <c r="H27" s="753">
        <f t="shared" si="4"/>
        <v>32492000</v>
      </c>
      <c r="I27" s="753">
        <v>0</v>
      </c>
      <c r="J27" s="753">
        <v>32492000</v>
      </c>
      <c r="K27" s="753">
        <f t="shared" si="5"/>
        <v>0</v>
      </c>
      <c r="L27" s="753">
        <v>0</v>
      </c>
      <c r="M27" s="753">
        <v>0</v>
      </c>
    </row>
    <row r="28" spans="1:13" s="304" customFormat="1" ht="18" customHeight="1">
      <c r="A28" s="1048"/>
      <c r="B28" s="1049"/>
      <c r="C28" s="1052"/>
      <c r="D28" s="1053"/>
      <c r="E28" s="1050" t="s">
        <v>936</v>
      </c>
      <c r="F28" s="1051"/>
      <c r="G28" s="753">
        <f t="shared" si="3"/>
        <v>4000000</v>
      </c>
      <c r="H28" s="753">
        <f t="shared" si="4"/>
        <v>4000000</v>
      </c>
      <c r="I28" s="753">
        <v>0</v>
      </c>
      <c r="J28" s="753">
        <v>4000000</v>
      </c>
      <c r="K28" s="753">
        <f t="shared" si="5"/>
        <v>0</v>
      </c>
      <c r="L28" s="753">
        <v>0</v>
      </c>
      <c r="M28" s="753">
        <v>0</v>
      </c>
    </row>
    <row r="29" spans="1:13" s="304" customFormat="1" ht="18" customHeight="1">
      <c r="A29" s="1048"/>
      <c r="B29" s="1049"/>
      <c r="C29" s="1059" t="s">
        <v>559</v>
      </c>
      <c r="D29" s="1060"/>
      <c r="E29" s="1050" t="s">
        <v>937</v>
      </c>
      <c r="F29" s="1051"/>
      <c r="G29" s="753">
        <f t="shared" si="3"/>
        <v>16216000</v>
      </c>
      <c r="H29" s="753">
        <f t="shared" si="4"/>
        <v>16216000</v>
      </c>
      <c r="I29" s="753">
        <v>0</v>
      </c>
      <c r="J29" s="753">
        <v>16216000</v>
      </c>
      <c r="K29" s="753">
        <f t="shared" si="5"/>
        <v>0</v>
      </c>
      <c r="L29" s="753">
        <v>0</v>
      </c>
      <c r="M29" s="753">
        <v>0</v>
      </c>
    </row>
    <row r="30" spans="1:13" s="304" customFormat="1" ht="18" customHeight="1">
      <c r="A30" s="1048"/>
      <c r="B30" s="1049"/>
      <c r="C30" s="1057" t="s">
        <v>469</v>
      </c>
      <c r="D30" s="1058"/>
      <c r="E30" s="1050" t="s">
        <v>938</v>
      </c>
      <c r="F30" s="1051"/>
      <c r="G30" s="753">
        <f t="shared" si="3"/>
        <v>3415000</v>
      </c>
      <c r="H30" s="753">
        <f t="shared" si="4"/>
        <v>3415000</v>
      </c>
      <c r="I30" s="753">
        <v>0</v>
      </c>
      <c r="J30" s="753">
        <v>3415000</v>
      </c>
      <c r="K30" s="753">
        <f t="shared" si="5"/>
        <v>0</v>
      </c>
      <c r="L30" s="753">
        <v>0</v>
      </c>
      <c r="M30" s="753">
        <v>0</v>
      </c>
    </row>
    <row r="31" spans="1:13" s="304" customFormat="1" ht="18" customHeight="1">
      <c r="A31" s="1048"/>
      <c r="B31" s="1049"/>
      <c r="C31" s="1048"/>
      <c r="D31" s="1049"/>
      <c r="E31" s="1050" t="s">
        <v>939</v>
      </c>
      <c r="F31" s="1051"/>
      <c r="G31" s="753">
        <f t="shared" si="3"/>
        <v>4495000</v>
      </c>
      <c r="H31" s="753">
        <f t="shared" si="4"/>
        <v>4495000</v>
      </c>
      <c r="I31" s="753">
        <v>0</v>
      </c>
      <c r="J31" s="753">
        <v>4495000</v>
      </c>
      <c r="K31" s="753">
        <f t="shared" si="5"/>
        <v>0</v>
      </c>
      <c r="L31" s="753">
        <v>0</v>
      </c>
      <c r="M31" s="753">
        <v>0</v>
      </c>
    </row>
    <row r="32" spans="1:13" s="304" customFormat="1" ht="18" customHeight="1">
      <c r="A32" s="1048"/>
      <c r="B32" s="1049"/>
      <c r="C32" s="1048"/>
      <c r="D32" s="1049"/>
      <c r="E32" s="1050" t="s">
        <v>940</v>
      </c>
      <c r="F32" s="1051"/>
      <c r="G32" s="753">
        <f t="shared" si="3"/>
        <v>1776000</v>
      </c>
      <c r="H32" s="753">
        <f t="shared" si="4"/>
        <v>1776000</v>
      </c>
      <c r="I32" s="753">
        <v>0</v>
      </c>
      <c r="J32" s="753">
        <v>1776000</v>
      </c>
      <c r="K32" s="753">
        <f t="shared" si="5"/>
        <v>0</v>
      </c>
      <c r="L32" s="753">
        <v>0</v>
      </c>
      <c r="M32" s="753">
        <v>0</v>
      </c>
    </row>
    <row r="33" spans="1:13" s="754" customFormat="1" ht="18" customHeight="1">
      <c r="A33" s="1044"/>
      <c r="B33" s="1045"/>
      <c r="C33" s="1044"/>
      <c r="D33" s="1045"/>
      <c r="E33" s="1046" t="s">
        <v>941</v>
      </c>
      <c r="F33" s="1047"/>
      <c r="G33" s="735">
        <f t="shared" si="3"/>
        <v>850000</v>
      </c>
      <c r="H33" s="735">
        <f t="shared" si="4"/>
        <v>850000</v>
      </c>
      <c r="I33" s="735">
        <v>0</v>
      </c>
      <c r="J33" s="735">
        <v>850000</v>
      </c>
      <c r="K33" s="735">
        <f t="shared" si="5"/>
        <v>0</v>
      </c>
      <c r="L33" s="735">
        <v>0</v>
      </c>
      <c r="M33" s="735">
        <v>0</v>
      </c>
    </row>
    <row r="34" spans="1:13" s="304" customFormat="1" ht="18" customHeight="1">
      <c r="A34" s="1048"/>
      <c r="B34" s="1049"/>
      <c r="C34" s="1048"/>
      <c r="D34" s="1049"/>
      <c r="E34" s="1050" t="s">
        <v>942</v>
      </c>
      <c r="F34" s="1051"/>
      <c r="G34" s="753">
        <f t="shared" si="3"/>
        <v>1401000</v>
      </c>
      <c r="H34" s="753">
        <f t="shared" si="4"/>
        <v>1401000</v>
      </c>
      <c r="I34" s="753">
        <f>I35+I36</f>
        <v>0</v>
      </c>
      <c r="J34" s="753">
        <f>J35+J36</f>
        <v>1401000</v>
      </c>
      <c r="K34" s="753">
        <f t="shared" si="5"/>
        <v>0</v>
      </c>
      <c r="L34" s="753">
        <f>L35+L36</f>
        <v>0</v>
      </c>
      <c r="M34" s="753">
        <f>M35+M36</f>
        <v>0</v>
      </c>
    </row>
    <row r="35" spans="1:13" s="757" customFormat="1" ht="18" customHeight="1">
      <c r="A35" s="1061"/>
      <c r="B35" s="1062"/>
      <c r="C35" s="1061"/>
      <c r="D35" s="1062"/>
      <c r="E35" s="1063" t="s">
        <v>943</v>
      </c>
      <c r="F35" s="1064"/>
      <c r="G35" s="755">
        <f t="shared" si="3"/>
        <v>1315007</v>
      </c>
      <c r="H35" s="755">
        <f t="shared" si="4"/>
        <v>1315007</v>
      </c>
      <c r="I35" s="755">
        <v>0</v>
      </c>
      <c r="J35" s="755">
        <v>1315007</v>
      </c>
      <c r="K35" s="756">
        <f>L35+M35</f>
        <v>0</v>
      </c>
      <c r="L35" s="755">
        <v>0</v>
      </c>
      <c r="M35" s="755">
        <v>0</v>
      </c>
    </row>
    <row r="36" spans="1:13" s="757" customFormat="1" ht="18" customHeight="1">
      <c r="A36" s="1061"/>
      <c r="B36" s="1062"/>
      <c r="C36" s="1061"/>
      <c r="D36" s="1062"/>
      <c r="E36" s="1063" t="s">
        <v>944</v>
      </c>
      <c r="F36" s="1064"/>
      <c r="G36" s="756">
        <f t="shared" si="3"/>
        <v>85993</v>
      </c>
      <c r="H36" s="756">
        <f t="shared" si="4"/>
        <v>85993</v>
      </c>
      <c r="I36" s="756">
        <v>0</v>
      </c>
      <c r="J36" s="756">
        <v>85993</v>
      </c>
      <c r="K36" s="756">
        <f>L36+M36</f>
        <v>0</v>
      </c>
      <c r="L36" s="756">
        <v>0</v>
      </c>
      <c r="M36" s="756">
        <v>0</v>
      </c>
    </row>
    <row r="37" spans="1:13" s="304" customFormat="1" ht="18" customHeight="1">
      <c r="A37" s="1048"/>
      <c r="B37" s="1049"/>
      <c r="C37" s="1052"/>
      <c r="D37" s="1053"/>
      <c r="E37" s="1050" t="s">
        <v>945</v>
      </c>
      <c r="F37" s="1051"/>
      <c r="G37" s="753">
        <f t="shared" si="3"/>
        <v>2295000</v>
      </c>
      <c r="H37" s="753">
        <f t="shared" si="4"/>
        <v>2295000</v>
      </c>
      <c r="I37" s="753">
        <v>0</v>
      </c>
      <c r="J37" s="753">
        <v>2295000</v>
      </c>
      <c r="K37" s="753">
        <f t="shared" ref="K37:K49" si="6">L37+M37</f>
        <v>0</v>
      </c>
      <c r="L37" s="753">
        <v>0</v>
      </c>
      <c r="M37" s="753">
        <v>0</v>
      </c>
    </row>
    <row r="38" spans="1:13" s="304" customFormat="1" ht="18" customHeight="1">
      <c r="A38" s="1048"/>
      <c r="B38" s="1049"/>
      <c r="C38" s="1057" t="s">
        <v>473</v>
      </c>
      <c r="D38" s="1058"/>
      <c r="E38" s="1050" t="s">
        <v>946</v>
      </c>
      <c r="F38" s="1051"/>
      <c r="G38" s="753">
        <f t="shared" si="3"/>
        <v>1905000</v>
      </c>
      <c r="H38" s="753">
        <f t="shared" si="4"/>
        <v>1905000</v>
      </c>
      <c r="I38" s="753">
        <v>0</v>
      </c>
      <c r="J38" s="753">
        <v>1905000</v>
      </c>
      <c r="K38" s="753">
        <f t="shared" si="6"/>
        <v>0</v>
      </c>
      <c r="L38" s="753">
        <v>0</v>
      </c>
      <c r="M38" s="753">
        <v>0</v>
      </c>
    </row>
    <row r="39" spans="1:13" s="304" customFormat="1" ht="18" customHeight="1">
      <c r="A39" s="1052"/>
      <c r="B39" s="1053"/>
      <c r="C39" s="1052"/>
      <c r="D39" s="1053"/>
      <c r="E39" s="1050" t="s">
        <v>947</v>
      </c>
      <c r="F39" s="1051"/>
      <c r="G39" s="753">
        <f t="shared" si="3"/>
        <v>2437000</v>
      </c>
      <c r="H39" s="753">
        <f t="shared" si="4"/>
        <v>2437000</v>
      </c>
      <c r="I39" s="753">
        <v>0</v>
      </c>
      <c r="J39" s="753">
        <v>2437000</v>
      </c>
      <c r="K39" s="753">
        <f t="shared" si="6"/>
        <v>0</v>
      </c>
      <c r="L39" s="753">
        <v>0</v>
      </c>
      <c r="M39" s="753">
        <v>0</v>
      </c>
    </row>
    <row r="40" spans="1:13" s="304" customFormat="1" ht="18" customHeight="1">
      <c r="A40" s="1057"/>
      <c r="B40" s="1058"/>
      <c r="C40" s="1059" t="s">
        <v>948</v>
      </c>
      <c r="D40" s="1060"/>
      <c r="E40" s="1050" t="s">
        <v>949</v>
      </c>
      <c r="F40" s="1051"/>
      <c r="G40" s="753">
        <f t="shared" si="3"/>
        <v>1609500</v>
      </c>
      <c r="H40" s="753">
        <f t="shared" si="4"/>
        <v>1609500</v>
      </c>
      <c r="I40" s="753">
        <v>0</v>
      </c>
      <c r="J40" s="753">
        <v>1609500</v>
      </c>
      <c r="K40" s="753">
        <f t="shared" si="6"/>
        <v>0</v>
      </c>
      <c r="L40" s="753">
        <v>0</v>
      </c>
      <c r="M40" s="753">
        <v>0</v>
      </c>
    </row>
    <row r="41" spans="1:13" s="754" customFormat="1" ht="30" customHeight="1">
      <c r="A41" s="1044"/>
      <c r="B41" s="1045"/>
      <c r="C41" s="1065" t="s">
        <v>478</v>
      </c>
      <c r="D41" s="1066"/>
      <c r="E41" s="1046" t="s">
        <v>950</v>
      </c>
      <c r="F41" s="1047"/>
      <c r="G41" s="735">
        <f t="shared" si="3"/>
        <v>16799000</v>
      </c>
      <c r="H41" s="735">
        <f t="shared" si="4"/>
        <v>16799000</v>
      </c>
      <c r="I41" s="735">
        <f>I42+I43</f>
        <v>0</v>
      </c>
      <c r="J41" s="735">
        <f>J42+J43</f>
        <v>16799000</v>
      </c>
      <c r="K41" s="735">
        <f t="shared" si="6"/>
        <v>0</v>
      </c>
      <c r="L41" s="735">
        <f>L42+L43</f>
        <v>0</v>
      </c>
      <c r="M41" s="735">
        <f>M42+M43</f>
        <v>0</v>
      </c>
    </row>
    <row r="42" spans="1:13" s="757" customFormat="1" ht="18" customHeight="1">
      <c r="A42" s="1061"/>
      <c r="B42" s="1062"/>
      <c r="C42" s="1061"/>
      <c r="D42" s="1062"/>
      <c r="E42" s="1063" t="s">
        <v>943</v>
      </c>
      <c r="F42" s="1064"/>
      <c r="G42" s="755">
        <f t="shared" si="3"/>
        <v>14399000</v>
      </c>
      <c r="H42" s="755">
        <f t="shared" si="4"/>
        <v>14399000</v>
      </c>
      <c r="I42" s="755">
        <v>0</v>
      </c>
      <c r="J42" s="755">
        <v>14399000</v>
      </c>
      <c r="K42" s="755">
        <f t="shared" si="6"/>
        <v>0</v>
      </c>
      <c r="L42" s="755">
        <v>0</v>
      </c>
      <c r="M42" s="755">
        <v>0</v>
      </c>
    </row>
    <row r="43" spans="1:13" s="757" customFormat="1" ht="18" customHeight="1">
      <c r="A43" s="1061"/>
      <c r="B43" s="1062"/>
      <c r="C43" s="1061"/>
      <c r="D43" s="1062"/>
      <c r="E43" s="1063" t="s">
        <v>951</v>
      </c>
      <c r="F43" s="1064"/>
      <c r="G43" s="755">
        <f t="shared" si="3"/>
        <v>2400000</v>
      </c>
      <c r="H43" s="755">
        <f t="shared" si="4"/>
        <v>2400000</v>
      </c>
      <c r="I43" s="755">
        <v>0</v>
      </c>
      <c r="J43" s="755">
        <v>2400000</v>
      </c>
      <c r="K43" s="755">
        <f t="shared" si="6"/>
        <v>0</v>
      </c>
      <c r="L43" s="755">
        <v>0</v>
      </c>
      <c r="M43" s="755">
        <v>0</v>
      </c>
    </row>
    <row r="44" spans="1:13" s="754" customFormat="1" ht="30" customHeight="1">
      <c r="A44" s="1044"/>
      <c r="B44" s="1045"/>
      <c r="C44" s="1044"/>
      <c r="D44" s="1045"/>
      <c r="E44" s="1046" t="s">
        <v>952</v>
      </c>
      <c r="F44" s="1047"/>
      <c r="G44" s="735">
        <f t="shared" si="3"/>
        <v>16198000</v>
      </c>
      <c r="H44" s="735">
        <f t="shared" si="4"/>
        <v>16198000</v>
      </c>
      <c r="I44" s="735">
        <f>I45+I46</f>
        <v>0</v>
      </c>
      <c r="J44" s="735">
        <f>J45+J46</f>
        <v>16198000</v>
      </c>
      <c r="K44" s="735">
        <f t="shared" si="6"/>
        <v>0</v>
      </c>
      <c r="L44" s="735">
        <f>L45+L46</f>
        <v>0</v>
      </c>
      <c r="M44" s="735">
        <f>M45+M46</f>
        <v>0</v>
      </c>
    </row>
    <row r="45" spans="1:13" s="757" customFormat="1" ht="18" customHeight="1">
      <c r="A45" s="1061"/>
      <c r="B45" s="1062"/>
      <c r="C45" s="1061"/>
      <c r="D45" s="1062"/>
      <c r="E45" s="1063" t="s">
        <v>943</v>
      </c>
      <c r="F45" s="1064"/>
      <c r="G45" s="755">
        <f t="shared" si="3"/>
        <v>14798000</v>
      </c>
      <c r="H45" s="755">
        <f t="shared" si="4"/>
        <v>14798000</v>
      </c>
      <c r="I45" s="755">
        <v>0</v>
      </c>
      <c r="J45" s="755">
        <v>14798000</v>
      </c>
      <c r="K45" s="755">
        <f t="shared" si="6"/>
        <v>0</v>
      </c>
      <c r="L45" s="755">
        <v>0</v>
      </c>
      <c r="M45" s="755">
        <v>0</v>
      </c>
    </row>
    <row r="46" spans="1:13" s="757" customFormat="1" ht="18" customHeight="1">
      <c r="A46" s="1061"/>
      <c r="B46" s="1062"/>
      <c r="C46" s="1061"/>
      <c r="D46" s="1062"/>
      <c r="E46" s="1063" t="s">
        <v>953</v>
      </c>
      <c r="F46" s="1064"/>
      <c r="G46" s="755">
        <f t="shared" si="3"/>
        <v>1400000</v>
      </c>
      <c r="H46" s="755">
        <f t="shared" si="4"/>
        <v>1400000</v>
      </c>
      <c r="I46" s="755">
        <v>0</v>
      </c>
      <c r="J46" s="755">
        <v>1400000</v>
      </c>
      <c r="K46" s="755">
        <f t="shared" si="6"/>
        <v>0</v>
      </c>
      <c r="L46" s="755">
        <v>0</v>
      </c>
      <c r="M46" s="755">
        <v>0</v>
      </c>
    </row>
    <row r="47" spans="1:13" s="304" customFormat="1" ht="18" customHeight="1">
      <c r="A47" s="1048"/>
      <c r="B47" s="1049"/>
      <c r="C47" s="1057" t="s">
        <v>482</v>
      </c>
      <c r="D47" s="1058"/>
      <c r="E47" s="1050" t="s">
        <v>954</v>
      </c>
      <c r="F47" s="1051"/>
      <c r="G47" s="753">
        <f t="shared" si="3"/>
        <v>10343000</v>
      </c>
      <c r="H47" s="753">
        <f t="shared" si="4"/>
        <v>10343000</v>
      </c>
      <c r="I47" s="753">
        <v>0</v>
      </c>
      <c r="J47" s="753">
        <v>10343000</v>
      </c>
      <c r="K47" s="753">
        <f t="shared" si="6"/>
        <v>0</v>
      </c>
      <c r="L47" s="753">
        <v>0</v>
      </c>
      <c r="M47" s="753">
        <v>0</v>
      </c>
    </row>
    <row r="48" spans="1:13" s="304" customFormat="1" ht="18" customHeight="1">
      <c r="A48" s="1048"/>
      <c r="B48" s="1049"/>
      <c r="C48" s="1048"/>
      <c r="D48" s="1049"/>
      <c r="E48" s="1050" t="s">
        <v>955</v>
      </c>
      <c r="F48" s="1051"/>
      <c r="G48" s="753">
        <f t="shared" si="3"/>
        <v>8944000</v>
      </c>
      <c r="H48" s="753">
        <f t="shared" si="4"/>
        <v>8944000</v>
      </c>
      <c r="I48" s="753">
        <v>0</v>
      </c>
      <c r="J48" s="753">
        <v>8944000</v>
      </c>
      <c r="K48" s="753">
        <f t="shared" si="6"/>
        <v>0</v>
      </c>
      <c r="L48" s="753">
        <v>0</v>
      </c>
      <c r="M48" s="753">
        <v>0</v>
      </c>
    </row>
    <row r="49" spans="1:13" s="304" customFormat="1" ht="18" customHeight="1">
      <c r="A49" s="1052"/>
      <c r="B49" s="1053"/>
      <c r="C49" s="1052"/>
      <c r="D49" s="1053"/>
      <c r="E49" s="1050" t="s">
        <v>956</v>
      </c>
      <c r="F49" s="1051"/>
      <c r="G49" s="753">
        <f t="shared" si="3"/>
        <v>4925000</v>
      </c>
      <c r="H49" s="753">
        <f t="shared" si="4"/>
        <v>4925000</v>
      </c>
      <c r="I49" s="753">
        <v>0</v>
      </c>
      <c r="J49" s="753">
        <v>4925000</v>
      </c>
      <c r="K49" s="753">
        <f t="shared" si="6"/>
        <v>0</v>
      </c>
      <c r="L49" s="753">
        <v>0</v>
      </c>
      <c r="M49" s="753">
        <v>0</v>
      </c>
    </row>
    <row r="50" spans="1:13" s="720" customFormat="1" ht="5.25" customHeight="1">
      <c r="A50" s="737"/>
      <c r="B50" s="738"/>
      <c r="C50" s="738"/>
      <c r="D50" s="738"/>
      <c r="E50" s="739"/>
      <c r="F50" s="740"/>
      <c r="G50" s="741"/>
      <c r="H50" s="742"/>
      <c r="I50" s="742"/>
      <c r="J50" s="742"/>
      <c r="K50" s="742"/>
      <c r="L50" s="742"/>
      <c r="M50" s="743"/>
    </row>
    <row r="51" spans="1:13" s="728" customFormat="1" ht="18" customHeight="1">
      <c r="A51" s="1026" t="s">
        <v>957</v>
      </c>
      <c r="B51" s="1027"/>
      <c r="C51" s="1027"/>
      <c r="D51" s="1027"/>
      <c r="E51" s="1027"/>
      <c r="F51" s="1027"/>
      <c r="G51" s="744">
        <f>H51+K51</f>
        <v>285881279</v>
      </c>
      <c r="H51" s="744">
        <f>I51+J51</f>
        <v>220419942</v>
      </c>
      <c r="I51" s="744">
        <f>I58+I53+I77</f>
        <v>197040209</v>
      </c>
      <c r="J51" s="744">
        <f>J58+J53+J77</f>
        <v>23379733</v>
      </c>
      <c r="K51" s="744">
        <f>L51+M51</f>
        <v>65461337</v>
      </c>
      <c r="L51" s="744">
        <f>L58+L53+L77</f>
        <v>772720</v>
      </c>
      <c r="M51" s="744">
        <f>M58+M53+M77</f>
        <v>64688617</v>
      </c>
    </row>
    <row r="52" spans="1:13" s="720" customFormat="1" ht="5.25" customHeight="1">
      <c r="A52" s="758"/>
      <c r="B52" s="759"/>
      <c r="C52" s="759"/>
      <c r="D52" s="759"/>
      <c r="E52" s="760"/>
      <c r="F52" s="760"/>
      <c r="G52" s="761"/>
      <c r="H52" s="762"/>
      <c r="I52" s="762"/>
      <c r="J52" s="762"/>
      <c r="K52" s="762"/>
      <c r="L52" s="762"/>
      <c r="M52" s="763"/>
    </row>
    <row r="53" spans="1:13" s="765" customFormat="1" ht="18" customHeight="1">
      <c r="A53" s="1070" t="s">
        <v>958</v>
      </c>
      <c r="B53" s="1071"/>
      <c r="C53" s="1071"/>
      <c r="D53" s="1071"/>
      <c r="E53" s="1071"/>
      <c r="F53" s="1072"/>
      <c r="G53" s="764">
        <f>H53+K53</f>
        <v>11319000</v>
      </c>
      <c r="H53" s="764">
        <f>I53+J53</f>
        <v>9070397</v>
      </c>
      <c r="I53" s="764">
        <f>I55+I56</f>
        <v>8189397</v>
      </c>
      <c r="J53" s="764">
        <f>J55+J56</f>
        <v>881000</v>
      </c>
      <c r="K53" s="764">
        <f>L53+M53</f>
        <v>2248603</v>
      </c>
      <c r="L53" s="764">
        <f>L55+L56</f>
        <v>58603</v>
      </c>
      <c r="M53" s="764">
        <f>M55+M56</f>
        <v>2190000</v>
      </c>
    </row>
    <row r="54" spans="1:13" s="752" customFormat="1" ht="5.25" customHeight="1">
      <c r="A54" s="766"/>
      <c r="B54" s="767"/>
      <c r="C54" s="748"/>
      <c r="D54" s="748"/>
      <c r="E54" s="748"/>
      <c r="F54" s="748"/>
      <c r="G54" s="749"/>
      <c r="H54" s="750"/>
      <c r="I54" s="750"/>
      <c r="J54" s="750"/>
      <c r="K54" s="750"/>
      <c r="L54" s="750"/>
      <c r="M54" s="751"/>
    </row>
    <row r="55" spans="1:13" s="304" customFormat="1" ht="18" customHeight="1">
      <c r="A55" s="1057" t="s">
        <v>35</v>
      </c>
      <c r="B55" s="1058"/>
      <c r="C55" s="1059" t="s">
        <v>443</v>
      </c>
      <c r="D55" s="1060"/>
      <c r="E55" s="768" t="s">
        <v>797</v>
      </c>
      <c r="F55" s="769" t="s">
        <v>799</v>
      </c>
      <c r="G55" s="770">
        <f t="shared" ref="G55:G56" si="7">H55+K55</f>
        <v>8729000</v>
      </c>
      <c r="H55" s="770">
        <f t="shared" ref="H55:H56" si="8">I55+J55</f>
        <v>8670397</v>
      </c>
      <c r="I55" s="770">
        <v>8189397</v>
      </c>
      <c r="J55" s="770">
        <v>481000</v>
      </c>
      <c r="K55" s="770">
        <f t="shared" ref="K55:K56" si="9">L55+M55</f>
        <v>58603</v>
      </c>
      <c r="L55" s="770">
        <v>58603</v>
      </c>
      <c r="M55" s="770">
        <v>0</v>
      </c>
    </row>
    <row r="56" spans="1:13" s="304" customFormat="1" ht="18" customHeight="1">
      <c r="A56" s="1057" t="s">
        <v>100</v>
      </c>
      <c r="B56" s="1058"/>
      <c r="C56" s="1048" t="s">
        <v>959</v>
      </c>
      <c r="D56" s="1049"/>
      <c r="E56" s="771" t="s">
        <v>803</v>
      </c>
      <c r="F56" s="769" t="s">
        <v>805</v>
      </c>
      <c r="G56" s="770">
        <f t="shared" si="7"/>
        <v>2590000</v>
      </c>
      <c r="H56" s="770">
        <f t="shared" si="8"/>
        <v>400000</v>
      </c>
      <c r="I56" s="770">
        <v>0</v>
      </c>
      <c r="J56" s="770">
        <f>200000+200000</f>
        <v>400000</v>
      </c>
      <c r="K56" s="770">
        <f t="shared" si="9"/>
        <v>2190000</v>
      </c>
      <c r="L56" s="770">
        <v>0</v>
      </c>
      <c r="M56" s="770">
        <v>2190000</v>
      </c>
    </row>
    <row r="57" spans="1:13" s="752" customFormat="1" ht="5.25" customHeight="1">
      <c r="A57" s="747"/>
      <c r="B57" s="748"/>
      <c r="C57" s="748"/>
      <c r="D57" s="748"/>
      <c r="E57" s="748"/>
      <c r="F57" s="748"/>
      <c r="G57" s="749"/>
      <c r="H57" s="750"/>
      <c r="I57" s="750"/>
      <c r="J57" s="750"/>
      <c r="K57" s="750"/>
      <c r="L57" s="750"/>
      <c r="M57" s="751"/>
    </row>
    <row r="58" spans="1:13" s="765" customFormat="1" ht="30" customHeight="1">
      <c r="A58" s="1067" t="s">
        <v>960</v>
      </c>
      <c r="B58" s="1068"/>
      <c r="C58" s="1068"/>
      <c r="D58" s="1068"/>
      <c r="E58" s="1068"/>
      <c r="F58" s="1069"/>
      <c r="G58" s="764">
        <f>H58+K58</f>
        <v>13153536</v>
      </c>
      <c r="H58" s="764">
        <f>I58+J58</f>
        <v>11560468</v>
      </c>
      <c r="I58" s="764">
        <f>I60+I61+I62+I63+I64+I65+I66+I67+I68+I69+I70+I71+I72+I73+I74+I75</f>
        <v>6516581</v>
      </c>
      <c r="J58" s="764">
        <f>J60+J61+J62+J63+J64+J65+J66+J67+J68+J69+J70+J71+J72+J73+J74+J75</f>
        <v>5043887</v>
      </c>
      <c r="K58" s="764">
        <f>L58+M58</f>
        <v>1593068</v>
      </c>
      <c r="L58" s="764">
        <f>L60+L61+L62+L63+L64+L65+L66+L67+L68+L69+L70+L71+L72+L73+L74+L75</f>
        <v>114117</v>
      </c>
      <c r="M58" s="764">
        <f>M60+M61+M62+M63+M64+M65+M66+M67+M68+M69+M70+M71+M72+M73+M74+M75</f>
        <v>1478951</v>
      </c>
    </row>
    <row r="59" spans="1:13" s="720" customFormat="1" ht="5.25" customHeight="1">
      <c r="A59" s="758"/>
      <c r="B59" s="759"/>
      <c r="C59" s="759"/>
      <c r="D59" s="759"/>
      <c r="E59" s="760"/>
      <c r="F59" s="760"/>
      <c r="G59" s="761"/>
      <c r="H59" s="762"/>
      <c r="I59" s="762"/>
      <c r="J59" s="762"/>
      <c r="K59" s="762"/>
      <c r="L59" s="762"/>
      <c r="M59" s="763"/>
    </row>
    <row r="60" spans="1:13" s="304" customFormat="1" ht="18" customHeight="1">
      <c r="A60" s="1057" t="s">
        <v>72</v>
      </c>
      <c r="B60" s="1058"/>
      <c r="C60" s="1057" t="s">
        <v>344</v>
      </c>
      <c r="D60" s="1058"/>
      <c r="E60" s="768" t="s">
        <v>961</v>
      </c>
      <c r="F60" s="772" t="s">
        <v>819</v>
      </c>
      <c r="G60" s="753">
        <f t="shared" ref="G60:G75" si="10">H60+K60</f>
        <v>1997500</v>
      </c>
      <c r="H60" s="753">
        <f t="shared" ref="H60:H75" si="11">I60+J60</f>
        <v>1997500</v>
      </c>
      <c r="I60" s="753">
        <v>1997500</v>
      </c>
      <c r="J60" s="753">
        <v>0</v>
      </c>
      <c r="K60" s="753">
        <f t="shared" ref="K60:K75" si="12">L60+M60</f>
        <v>0</v>
      </c>
      <c r="L60" s="753">
        <v>0</v>
      </c>
      <c r="M60" s="753">
        <v>0</v>
      </c>
    </row>
    <row r="61" spans="1:13" s="304" customFormat="1" ht="18" customHeight="1">
      <c r="A61" s="1048"/>
      <c r="B61" s="1049"/>
      <c r="C61" s="1048"/>
      <c r="D61" s="1049"/>
      <c r="E61" s="768" t="s">
        <v>961</v>
      </c>
      <c r="F61" s="772" t="s">
        <v>823</v>
      </c>
      <c r="G61" s="753">
        <f t="shared" si="10"/>
        <v>1385500</v>
      </c>
      <c r="H61" s="753">
        <f t="shared" si="11"/>
        <v>1385500</v>
      </c>
      <c r="I61" s="753">
        <v>1385500</v>
      </c>
      <c r="J61" s="753">
        <v>0</v>
      </c>
      <c r="K61" s="753">
        <f t="shared" si="12"/>
        <v>0</v>
      </c>
      <c r="L61" s="753">
        <v>0</v>
      </c>
      <c r="M61" s="753">
        <v>0</v>
      </c>
    </row>
    <row r="62" spans="1:13" s="304" customFormat="1" ht="18" customHeight="1">
      <c r="A62" s="1052"/>
      <c r="B62" s="1053"/>
      <c r="C62" s="1052"/>
      <c r="D62" s="1053"/>
      <c r="E62" s="768" t="s">
        <v>961</v>
      </c>
      <c r="F62" s="772" t="s">
        <v>822</v>
      </c>
      <c r="G62" s="753">
        <f t="shared" si="10"/>
        <v>2089698</v>
      </c>
      <c r="H62" s="753">
        <f t="shared" si="11"/>
        <v>2089698</v>
      </c>
      <c r="I62" s="753">
        <v>2089698</v>
      </c>
      <c r="J62" s="753">
        <v>0</v>
      </c>
      <c r="K62" s="753">
        <f t="shared" si="12"/>
        <v>0</v>
      </c>
      <c r="L62" s="753">
        <v>0</v>
      </c>
      <c r="M62" s="753">
        <v>0</v>
      </c>
    </row>
    <row r="63" spans="1:13" s="304" customFormat="1" ht="18" customHeight="1">
      <c r="A63" s="1057" t="s">
        <v>29</v>
      </c>
      <c r="B63" s="1058"/>
      <c r="C63" s="1057" t="s">
        <v>358</v>
      </c>
      <c r="D63" s="1058"/>
      <c r="E63" s="768" t="s">
        <v>962</v>
      </c>
      <c r="F63" s="772" t="s">
        <v>963</v>
      </c>
      <c r="G63" s="753">
        <f t="shared" si="10"/>
        <v>2254799</v>
      </c>
      <c r="H63" s="753">
        <f t="shared" si="11"/>
        <v>2254799</v>
      </c>
      <c r="I63" s="753">
        <v>0</v>
      </c>
      <c r="J63" s="753">
        <v>2254799</v>
      </c>
      <c r="K63" s="753">
        <f t="shared" si="12"/>
        <v>0</v>
      </c>
      <c r="L63" s="753">
        <v>0</v>
      </c>
      <c r="M63" s="753">
        <v>0</v>
      </c>
    </row>
    <row r="64" spans="1:13" s="304" customFormat="1" ht="18" customHeight="1">
      <c r="A64" s="1052"/>
      <c r="B64" s="1053"/>
      <c r="C64" s="1052"/>
      <c r="D64" s="1053"/>
      <c r="E64" s="768" t="s">
        <v>964</v>
      </c>
      <c r="F64" s="772" t="s">
        <v>965</v>
      </c>
      <c r="G64" s="753">
        <f t="shared" si="10"/>
        <v>42500</v>
      </c>
      <c r="H64" s="753">
        <f t="shared" si="11"/>
        <v>42500</v>
      </c>
      <c r="I64" s="753">
        <v>0</v>
      </c>
      <c r="J64" s="753">
        <v>42500</v>
      </c>
      <c r="K64" s="753">
        <f t="shared" si="12"/>
        <v>0</v>
      </c>
      <c r="L64" s="753">
        <v>0</v>
      </c>
      <c r="M64" s="753">
        <v>0</v>
      </c>
    </row>
    <row r="65" spans="1:13" s="754" customFormat="1" ht="30" customHeight="1">
      <c r="A65" s="1065" t="s">
        <v>33</v>
      </c>
      <c r="B65" s="1066"/>
      <c r="C65" s="1065" t="s">
        <v>966</v>
      </c>
      <c r="D65" s="1066"/>
      <c r="E65" s="773" t="s">
        <v>967</v>
      </c>
      <c r="F65" s="774" t="s">
        <v>968</v>
      </c>
      <c r="G65" s="735">
        <f t="shared" si="10"/>
        <v>122074</v>
      </c>
      <c r="H65" s="735">
        <f t="shared" si="11"/>
        <v>122074</v>
      </c>
      <c r="I65" s="735">
        <v>122074</v>
      </c>
      <c r="J65" s="735">
        <v>0</v>
      </c>
      <c r="K65" s="735">
        <f t="shared" si="12"/>
        <v>0</v>
      </c>
      <c r="L65" s="735">
        <v>0</v>
      </c>
      <c r="M65" s="735">
        <v>0</v>
      </c>
    </row>
    <row r="66" spans="1:13" s="754" customFormat="1" ht="30" customHeight="1">
      <c r="A66" s="1044"/>
      <c r="B66" s="1045"/>
      <c r="C66" s="1073"/>
      <c r="D66" s="1074"/>
      <c r="E66" s="773" t="s">
        <v>969</v>
      </c>
      <c r="F66" s="774" t="s">
        <v>970</v>
      </c>
      <c r="G66" s="735">
        <f t="shared" si="10"/>
        <v>170710</v>
      </c>
      <c r="H66" s="735">
        <f t="shared" si="11"/>
        <v>170710</v>
      </c>
      <c r="I66" s="735">
        <v>0</v>
      </c>
      <c r="J66" s="735">
        <v>170710</v>
      </c>
      <c r="K66" s="735">
        <f t="shared" si="12"/>
        <v>0</v>
      </c>
      <c r="L66" s="735">
        <v>0</v>
      </c>
      <c r="M66" s="735">
        <v>0</v>
      </c>
    </row>
    <row r="67" spans="1:13" s="754" customFormat="1" ht="30" customHeight="1">
      <c r="A67" s="1044"/>
      <c r="B67" s="1045"/>
      <c r="C67" s="1065" t="s">
        <v>385</v>
      </c>
      <c r="D67" s="1066"/>
      <c r="E67" s="773" t="s">
        <v>967</v>
      </c>
      <c r="F67" s="774" t="s">
        <v>968</v>
      </c>
      <c r="G67" s="735">
        <f t="shared" si="10"/>
        <v>131266</v>
      </c>
      <c r="H67" s="735">
        <f t="shared" si="11"/>
        <v>131266</v>
      </c>
      <c r="I67" s="735">
        <v>131266</v>
      </c>
      <c r="J67" s="735">
        <v>0</v>
      </c>
      <c r="K67" s="735">
        <f t="shared" si="12"/>
        <v>0</v>
      </c>
      <c r="L67" s="735">
        <v>0</v>
      </c>
      <c r="M67" s="735">
        <v>0</v>
      </c>
    </row>
    <row r="68" spans="1:13" s="754" customFormat="1" ht="30" customHeight="1">
      <c r="A68" s="1073"/>
      <c r="B68" s="1074"/>
      <c r="C68" s="1073"/>
      <c r="D68" s="1074"/>
      <c r="E68" s="773" t="s">
        <v>969</v>
      </c>
      <c r="F68" s="774" t="s">
        <v>970</v>
      </c>
      <c r="G68" s="735">
        <f t="shared" si="10"/>
        <v>942655</v>
      </c>
      <c r="H68" s="735">
        <f t="shared" si="11"/>
        <v>942655</v>
      </c>
      <c r="I68" s="735">
        <v>266000</v>
      </c>
      <c r="J68" s="735">
        <v>676655</v>
      </c>
      <c r="K68" s="735">
        <f t="shared" si="12"/>
        <v>0</v>
      </c>
      <c r="L68" s="735">
        <v>0</v>
      </c>
      <c r="M68" s="735">
        <v>0</v>
      </c>
    </row>
    <row r="69" spans="1:13" s="754" customFormat="1" ht="30" customHeight="1">
      <c r="A69" s="1075" t="s">
        <v>35</v>
      </c>
      <c r="B69" s="1076"/>
      <c r="C69" s="1075" t="s">
        <v>604</v>
      </c>
      <c r="D69" s="1076"/>
      <c r="E69" s="773" t="s">
        <v>969</v>
      </c>
      <c r="F69" s="774" t="s">
        <v>970</v>
      </c>
      <c r="G69" s="735">
        <f t="shared" si="10"/>
        <v>75871</v>
      </c>
      <c r="H69" s="735">
        <f t="shared" si="11"/>
        <v>50871</v>
      </c>
      <c r="I69" s="735">
        <v>0</v>
      </c>
      <c r="J69" s="735">
        <f>25871+25000</f>
        <v>50871</v>
      </c>
      <c r="K69" s="735">
        <f t="shared" si="12"/>
        <v>25000</v>
      </c>
      <c r="L69" s="735">
        <v>0</v>
      </c>
      <c r="M69" s="735">
        <v>25000</v>
      </c>
    </row>
    <row r="70" spans="1:13" s="754" customFormat="1" ht="30" customHeight="1">
      <c r="A70" s="1065" t="s">
        <v>100</v>
      </c>
      <c r="B70" s="1066"/>
      <c r="C70" s="1075" t="s">
        <v>971</v>
      </c>
      <c r="D70" s="1076"/>
      <c r="E70" s="773" t="s">
        <v>969</v>
      </c>
      <c r="F70" s="774" t="s">
        <v>970</v>
      </c>
      <c r="G70" s="735">
        <f t="shared" si="10"/>
        <v>204851</v>
      </c>
      <c r="H70" s="735">
        <f t="shared" si="11"/>
        <v>0</v>
      </c>
      <c r="I70" s="735">
        <v>0</v>
      </c>
      <c r="J70" s="735">
        <v>0</v>
      </c>
      <c r="K70" s="735">
        <f t="shared" si="12"/>
        <v>204851</v>
      </c>
      <c r="L70" s="735">
        <v>0</v>
      </c>
      <c r="M70" s="735">
        <v>204851</v>
      </c>
    </row>
    <row r="71" spans="1:13" s="754" customFormat="1" ht="30" customHeight="1">
      <c r="A71" s="1044"/>
      <c r="B71" s="1045"/>
      <c r="C71" s="1065" t="s">
        <v>959</v>
      </c>
      <c r="D71" s="1066"/>
      <c r="E71" s="773" t="s">
        <v>967</v>
      </c>
      <c r="F71" s="774" t="s">
        <v>968</v>
      </c>
      <c r="G71" s="735">
        <f t="shared" si="10"/>
        <v>285292</v>
      </c>
      <c r="H71" s="735">
        <f t="shared" si="11"/>
        <v>171175</v>
      </c>
      <c r="I71" s="735">
        <v>171175</v>
      </c>
      <c r="J71" s="735">
        <v>0</v>
      </c>
      <c r="K71" s="735">
        <f t="shared" si="12"/>
        <v>114117</v>
      </c>
      <c r="L71" s="735">
        <v>114117</v>
      </c>
      <c r="M71" s="735">
        <v>0</v>
      </c>
    </row>
    <row r="72" spans="1:13" s="754" customFormat="1" ht="30" customHeight="1">
      <c r="A72" s="1044"/>
      <c r="B72" s="1045"/>
      <c r="C72" s="1044"/>
      <c r="D72" s="1045"/>
      <c r="E72" s="773" t="s">
        <v>969</v>
      </c>
      <c r="F72" s="774" t="s">
        <v>970</v>
      </c>
      <c r="G72" s="735">
        <f t="shared" si="10"/>
        <v>606967</v>
      </c>
      <c r="H72" s="735">
        <f t="shared" si="11"/>
        <v>606967</v>
      </c>
      <c r="I72" s="735">
        <v>0</v>
      </c>
      <c r="J72" s="735">
        <v>606967</v>
      </c>
      <c r="K72" s="735">
        <f t="shared" si="12"/>
        <v>0</v>
      </c>
      <c r="L72" s="735">
        <v>0</v>
      </c>
      <c r="M72" s="735">
        <v>0</v>
      </c>
    </row>
    <row r="73" spans="1:13" s="754" customFormat="1" ht="18" customHeight="1">
      <c r="A73" s="1044"/>
      <c r="B73" s="1045"/>
      <c r="C73" s="1044"/>
      <c r="D73" s="1045"/>
      <c r="E73" s="773" t="s">
        <v>972</v>
      </c>
      <c r="F73" s="774" t="s">
        <v>973</v>
      </c>
      <c r="G73" s="735">
        <f t="shared" si="10"/>
        <v>1731485</v>
      </c>
      <c r="H73" s="735">
        <f t="shared" si="11"/>
        <v>1133385</v>
      </c>
      <c r="I73" s="735">
        <v>0</v>
      </c>
      <c r="J73" s="735">
        <v>1133385</v>
      </c>
      <c r="K73" s="735">
        <f t="shared" si="12"/>
        <v>598100</v>
      </c>
      <c r="L73" s="735">
        <v>0</v>
      </c>
      <c r="M73" s="735">
        <v>598100</v>
      </c>
    </row>
    <row r="74" spans="1:13" s="754" customFormat="1" ht="30" customHeight="1">
      <c r="A74" s="1075" t="s">
        <v>37</v>
      </c>
      <c r="B74" s="1076"/>
      <c r="C74" s="1075" t="s">
        <v>974</v>
      </c>
      <c r="D74" s="1076"/>
      <c r="E74" s="773" t="s">
        <v>969</v>
      </c>
      <c r="F74" s="774" t="s">
        <v>970</v>
      </c>
      <c r="G74" s="735">
        <f t="shared" si="10"/>
        <v>651000</v>
      </c>
      <c r="H74" s="735">
        <f t="shared" si="11"/>
        <v>0</v>
      </c>
      <c r="I74" s="735">
        <v>0</v>
      </c>
      <c r="J74" s="735">
        <v>0</v>
      </c>
      <c r="K74" s="735">
        <f t="shared" si="12"/>
        <v>651000</v>
      </c>
      <c r="L74" s="735">
        <v>0</v>
      </c>
      <c r="M74" s="735">
        <v>651000</v>
      </c>
    </row>
    <row r="75" spans="1:13" s="754" customFormat="1" ht="30" customHeight="1">
      <c r="A75" s="1065" t="s">
        <v>38</v>
      </c>
      <c r="B75" s="1066"/>
      <c r="C75" s="1065" t="s">
        <v>617</v>
      </c>
      <c r="D75" s="1066"/>
      <c r="E75" s="773" t="s">
        <v>975</v>
      </c>
      <c r="F75" s="774" t="s">
        <v>976</v>
      </c>
      <c r="G75" s="735">
        <f t="shared" si="10"/>
        <v>461368</v>
      </c>
      <c r="H75" s="735">
        <f t="shared" si="11"/>
        <v>461368</v>
      </c>
      <c r="I75" s="735">
        <v>353368</v>
      </c>
      <c r="J75" s="735">
        <v>108000</v>
      </c>
      <c r="K75" s="735">
        <f t="shared" si="12"/>
        <v>0</v>
      </c>
      <c r="L75" s="735">
        <v>0</v>
      </c>
      <c r="M75" s="735">
        <v>0</v>
      </c>
    </row>
    <row r="76" spans="1:13" s="720" customFormat="1" ht="5.25" customHeight="1">
      <c r="A76" s="758"/>
      <c r="B76" s="759"/>
      <c r="C76" s="759"/>
      <c r="D76" s="759"/>
      <c r="E76" s="760"/>
      <c r="F76" s="760"/>
      <c r="G76" s="761"/>
      <c r="H76" s="762"/>
      <c r="I76" s="762"/>
      <c r="J76" s="762"/>
      <c r="K76" s="762"/>
      <c r="L76" s="762"/>
      <c r="M76" s="763"/>
    </row>
    <row r="77" spans="1:13" s="765" customFormat="1" ht="18" customHeight="1">
      <c r="A77" s="1054" t="s">
        <v>977</v>
      </c>
      <c r="B77" s="1055"/>
      <c r="C77" s="1055"/>
      <c r="D77" s="1055"/>
      <c r="E77" s="1055"/>
      <c r="F77" s="1056"/>
      <c r="G77" s="745">
        <f>H77+K77</f>
        <v>261408743</v>
      </c>
      <c r="H77" s="745">
        <f>I77+J77</f>
        <v>199789077</v>
      </c>
      <c r="I77" s="745">
        <f>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+I152+I153+I154+I155+I156+I157+I158+I159+I160+I161+I162++I163+I164+I165+I166+I167+I168+I169+I170+I171+I172+I173+I174+I175+I176</f>
        <v>182334231</v>
      </c>
      <c r="J77" s="745">
        <f>J79+J80+J81+J82+J83+J84+J85+J86+J87+J88+J89+J90+J91+J92+J93+J94+J95+J96+J97+J98+J99+J100+J101+J102+J103+J104+J105+J106+J107+J108+J109+J110+J111+J112+J113+J114+J115+J116+J117+J118+J119+J120+J121+J122+J123+J124+J125+J126+J127+J128+J129+J130+J131+J132+J133+J134+J135+J136+J137+J138+J139+J140+J141+J142+J143+J144+J145+J146+J147+J148+J149+J150+J151+J152+J153+J154+J155+J156+J157+J158+J159+J160+J161+J162++J163+J164+J165+J166+J167+J168+J169+J170+J171+J172+J173+J174+J175+J176</f>
        <v>17454846</v>
      </c>
      <c r="K77" s="745">
        <f>L77+M77</f>
        <v>61619666</v>
      </c>
      <c r="L77" s="745">
        <f>L79+L80+L81+L82+L83+L84+L85+L86+L87+L88+L89+L90+L91+L92+L93+L94+L95+L96+L97+L98+L99+L100+L101+L102+L103+L104+L105+L106+L107+L108+L109+L110+L111+L112+L113+L114+L115+L116+L117+L118+L119+L120+L121+L122+L123+L124+L125+L126+L127+L128+L129+L130+L131+L132+L133+L134+L135+L136+L137+L138+L139+L140+L141+L142+L143+L144+L145+L146+L147+L148+L149+L150+L151+L152+L153+L154+L155+L156+L157+L158+L159+L160+L161+L162++L163+L164+L165+L166+L167+L168+L169+L170+L171+L172+L173+L174+L175+L176</f>
        <v>600000</v>
      </c>
      <c r="M77" s="745">
        <f>M79+M80+M81+M82+M83+M84+M85+M86+M87+M88+M89+M90+M91+M92+M93+M94+M95+M96+M97+M98+M99+M100+M101+M102+M103+M104+M105+M106+M107+M108+M109+M110+M111+M112+M113+M114+M115+M116+M117+M118+M119+M120+M121+M122+M123+M124+M125+M126+M127+M128+M129+M130+M131+M132+M133+M134+M135+M136+M137+M138+M139+M140+M141+M142+M143+M144+M145+M146+M147+M148+M149+M150+M151+M152+M153+M154+M155+M156+M157+M158+M159+M160+M161+M162++M163+M164+M165+M166+M167+M168+M169+M170+M171+M172+M173+M174+M175+M176</f>
        <v>61019666</v>
      </c>
    </row>
    <row r="78" spans="1:13" s="752" customFormat="1" ht="5.25" customHeight="1">
      <c r="A78" s="747"/>
      <c r="B78" s="748"/>
      <c r="C78" s="748"/>
      <c r="D78" s="748"/>
      <c r="E78" s="748"/>
      <c r="F78" s="748"/>
      <c r="G78" s="749"/>
      <c r="H78" s="750"/>
      <c r="I78" s="750"/>
      <c r="J78" s="750"/>
      <c r="K78" s="750"/>
      <c r="L78" s="750"/>
      <c r="M78" s="751"/>
    </row>
    <row r="79" spans="1:13" s="304" customFormat="1" ht="18" customHeight="1">
      <c r="A79" s="1057" t="s">
        <v>61</v>
      </c>
      <c r="B79" s="1058"/>
      <c r="C79" s="1057" t="s">
        <v>317</v>
      </c>
      <c r="D79" s="1058"/>
      <c r="E79" s="1050" t="s">
        <v>978</v>
      </c>
      <c r="F79" s="1051"/>
      <c r="G79" s="770">
        <f t="shared" ref="G79:G161" si="13">H79+K79</f>
        <v>1700000</v>
      </c>
      <c r="H79" s="770">
        <f t="shared" ref="H79:H161" si="14">I79+J79</f>
        <v>1700000</v>
      </c>
      <c r="I79" s="770">
        <v>0</v>
      </c>
      <c r="J79" s="770">
        <v>1700000</v>
      </c>
      <c r="K79" s="770">
        <f t="shared" ref="K79:K161" si="15">L79+M79</f>
        <v>0</v>
      </c>
      <c r="L79" s="770">
        <v>0</v>
      </c>
      <c r="M79" s="770">
        <v>0</v>
      </c>
    </row>
    <row r="80" spans="1:13" s="304" customFormat="1" ht="18" customHeight="1">
      <c r="A80" s="1048"/>
      <c r="B80" s="1049"/>
      <c r="C80" s="1057" t="s">
        <v>64</v>
      </c>
      <c r="D80" s="1058"/>
      <c r="E80" s="1050" t="s">
        <v>210</v>
      </c>
      <c r="F80" s="1051"/>
      <c r="G80" s="770">
        <f t="shared" si="13"/>
        <v>12601553</v>
      </c>
      <c r="H80" s="770">
        <f t="shared" si="14"/>
        <v>12301553</v>
      </c>
      <c r="I80" s="770">
        <v>12301553</v>
      </c>
      <c r="J80" s="770">
        <v>0</v>
      </c>
      <c r="K80" s="770">
        <f t="shared" si="15"/>
        <v>300000</v>
      </c>
      <c r="L80" s="770">
        <v>300000</v>
      </c>
      <c r="M80" s="770">
        <v>0</v>
      </c>
    </row>
    <row r="81" spans="1:13" s="304" customFormat="1" ht="18" customHeight="1">
      <c r="A81" s="1048"/>
      <c r="B81" s="1049"/>
      <c r="C81" s="1057" t="s">
        <v>320</v>
      </c>
      <c r="D81" s="1058"/>
      <c r="E81" s="1050" t="s">
        <v>979</v>
      </c>
      <c r="F81" s="1051"/>
      <c r="G81" s="753">
        <f t="shared" si="13"/>
        <v>80000</v>
      </c>
      <c r="H81" s="753">
        <f t="shared" si="14"/>
        <v>80000</v>
      </c>
      <c r="I81" s="753">
        <v>0</v>
      </c>
      <c r="J81" s="753">
        <v>80000</v>
      </c>
      <c r="K81" s="753">
        <f t="shared" si="15"/>
        <v>0</v>
      </c>
      <c r="L81" s="753">
        <v>0</v>
      </c>
      <c r="M81" s="753">
        <v>0</v>
      </c>
    </row>
    <row r="82" spans="1:13" s="304" customFormat="1" ht="18" customHeight="1">
      <c r="A82" s="1048"/>
      <c r="B82" s="1049"/>
      <c r="C82" s="1052"/>
      <c r="D82" s="1053"/>
      <c r="E82" s="1050" t="s">
        <v>980</v>
      </c>
      <c r="F82" s="1051"/>
      <c r="G82" s="753">
        <f t="shared" si="13"/>
        <v>500000</v>
      </c>
      <c r="H82" s="753">
        <f t="shared" si="14"/>
        <v>0</v>
      </c>
      <c r="I82" s="753">
        <v>0</v>
      </c>
      <c r="J82" s="753">
        <v>0</v>
      </c>
      <c r="K82" s="753">
        <f t="shared" si="15"/>
        <v>500000</v>
      </c>
      <c r="L82" s="753">
        <v>0</v>
      </c>
      <c r="M82" s="753">
        <v>500000</v>
      </c>
    </row>
    <row r="83" spans="1:13" s="754" customFormat="1" ht="30" customHeight="1">
      <c r="A83" s="1065" t="s">
        <v>23</v>
      </c>
      <c r="B83" s="1066"/>
      <c r="C83" s="1075" t="s">
        <v>327</v>
      </c>
      <c r="D83" s="1076"/>
      <c r="E83" s="1046" t="s">
        <v>981</v>
      </c>
      <c r="F83" s="1047"/>
      <c r="G83" s="735">
        <f t="shared" si="13"/>
        <v>43221000</v>
      </c>
      <c r="H83" s="735">
        <f t="shared" si="14"/>
        <v>5521000</v>
      </c>
      <c r="I83" s="735">
        <v>0</v>
      </c>
      <c r="J83" s="735">
        <v>5521000</v>
      </c>
      <c r="K83" s="735">
        <f t="shared" si="15"/>
        <v>37700000</v>
      </c>
      <c r="L83" s="735">
        <v>0</v>
      </c>
      <c r="M83" s="735">
        <v>37700000</v>
      </c>
    </row>
    <row r="84" spans="1:13" s="754" customFormat="1" ht="30" customHeight="1">
      <c r="A84" s="1044"/>
      <c r="B84" s="1045"/>
      <c r="C84" s="1065" t="s">
        <v>982</v>
      </c>
      <c r="D84" s="1066"/>
      <c r="E84" s="1046" t="s">
        <v>983</v>
      </c>
      <c r="F84" s="1047"/>
      <c r="G84" s="735">
        <f t="shared" si="13"/>
        <v>7500000</v>
      </c>
      <c r="H84" s="735">
        <f t="shared" si="14"/>
        <v>0</v>
      </c>
      <c r="I84" s="735">
        <v>0</v>
      </c>
      <c r="J84" s="735">
        <v>0</v>
      </c>
      <c r="K84" s="735">
        <f t="shared" si="15"/>
        <v>7500000</v>
      </c>
      <c r="L84" s="735">
        <v>0</v>
      </c>
      <c r="M84" s="735">
        <v>7500000</v>
      </c>
    </row>
    <row r="85" spans="1:13" s="754" customFormat="1" ht="30" customHeight="1">
      <c r="A85" s="1044"/>
      <c r="B85" s="1045"/>
      <c r="C85" s="1065" t="s">
        <v>329</v>
      </c>
      <c r="D85" s="1066"/>
      <c r="E85" s="1046" t="s">
        <v>984</v>
      </c>
      <c r="F85" s="1047"/>
      <c r="G85" s="735">
        <f>H85+K85</f>
        <v>2645000</v>
      </c>
      <c r="H85" s="735">
        <f>I85+J85</f>
        <v>2645000</v>
      </c>
      <c r="I85" s="735">
        <v>2645000</v>
      </c>
      <c r="J85" s="735">
        <v>0</v>
      </c>
      <c r="K85" s="735">
        <f>L85+M85</f>
        <v>0</v>
      </c>
      <c r="L85" s="735">
        <v>0</v>
      </c>
      <c r="M85" s="735">
        <v>0</v>
      </c>
    </row>
    <row r="86" spans="1:13" s="754" customFormat="1" ht="30" customHeight="1">
      <c r="A86" s="1044"/>
      <c r="B86" s="1045"/>
      <c r="C86" s="1044"/>
      <c r="D86" s="1045"/>
      <c r="E86" s="1046" t="s">
        <v>985</v>
      </c>
      <c r="F86" s="1047"/>
      <c r="G86" s="735">
        <f>H86+K86</f>
        <v>1219000</v>
      </c>
      <c r="H86" s="735">
        <f>I86+J86</f>
        <v>1219000</v>
      </c>
      <c r="I86" s="735">
        <v>1219000</v>
      </c>
      <c r="J86" s="735">
        <v>0</v>
      </c>
      <c r="K86" s="735">
        <f>L86+M86</f>
        <v>0</v>
      </c>
      <c r="L86" s="735">
        <v>0</v>
      </c>
      <c r="M86" s="735">
        <v>0</v>
      </c>
    </row>
    <row r="87" spans="1:13" s="754" customFormat="1" ht="39.950000000000003" customHeight="1">
      <c r="A87" s="1044"/>
      <c r="B87" s="1045"/>
      <c r="C87" s="1075" t="s">
        <v>537</v>
      </c>
      <c r="D87" s="1076"/>
      <c r="E87" s="1046" t="s">
        <v>986</v>
      </c>
      <c r="F87" s="1047"/>
      <c r="G87" s="735">
        <f t="shared" si="13"/>
        <v>150000</v>
      </c>
      <c r="H87" s="735">
        <f t="shared" si="14"/>
        <v>150000</v>
      </c>
      <c r="I87" s="735">
        <v>150000</v>
      </c>
      <c r="J87" s="735">
        <v>0</v>
      </c>
      <c r="K87" s="735">
        <f t="shared" si="15"/>
        <v>0</v>
      </c>
      <c r="L87" s="735">
        <v>0</v>
      </c>
      <c r="M87" s="735">
        <v>0</v>
      </c>
    </row>
    <row r="88" spans="1:13" s="754" customFormat="1" ht="30" customHeight="1">
      <c r="A88" s="1044"/>
      <c r="B88" s="1045"/>
      <c r="C88" s="1065" t="s">
        <v>332</v>
      </c>
      <c r="D88" s="1066"/>
      <c r="E88" s="1046" t="s">
        <v>987</v>
      </c>
      <c r="F88" s="1047"/>
      <c r="G88" s="735">
        <f t="shared" si="13"/>
        <v>26624202</v>
      </c>
      <c r="H88" s="735">
        <f t="shared" si="14"/>
        <v>26624202</v>
      </c>
      <c r="I88" s="735">
        <v>26624202</v>
      </c>
      <c r="J88" s="735">
        <v>0</v>
      </c>
      <c r="K88" s="735">
        <f t="shared" si="15"/>
        <v>0</v>
      </c>
      <c r="L88" s="735">
        <v>0</v>
      </c>
      <c r="M88" s="735">
        <v>0</v>
      </c>
    </row>
    <row r="89" spans="1:13" s="754" customFormat="1" ht="30" customHeight="1">
      <c r="A89" s="1073"/>
      <c r="B89" s="1074"/>
      <c r="C89" s="1065" t="s">
        <v>335</v>
      </c>
      <c r="D89" s="1066"/>
      <c r="E89" s="1046" t="s">
        <v>988</v>
      </c>
      <c r="F89" s="1047"/>
      <c r="G89" s="735">
        <f t="shared" si="13"/>
        <v>50000</v>
      </c>
      <c r="H89" s="735">
        <f t="shared" si="14"/>
        <v>50000</v>
      </c>
      <c r="I89" s="735">
        <v>0</v>
      </c>
      <c r="J89" s="735">
        <v>50000</v>
      </c>
      <c r="K89" s="735">
        <f t="shared" si="15"/>
        <v>0</v>
      </c>
      <c r="L89" s="735">
        <v>0</v>
      </c>
      <c r="M89" s="735">
        <v>0</v>
      </c>
    </row>
    <row r="90" spans="1:13" s="304" customFormat="1" ht="18" customHeight="1">
      <c r="A90" s="1057" t="s">
        <v>55</v>
      </c>
      <c r="B90" s="1058"/>
      <c r="C90" s="1057" t="s">
        <v>336</v>
      </c>
      <c r="D90" s="1058"/>
      <c r="E90" s="1050" t="s">
        <v>989</v>
      </c>
      <c r="F90" s="1051"/>
      <c r="G90" s="770">
        <f t="shared" si="13"/>
        <v>250000</v>
      </c>
      <c r="H90" s="770">
        <f t="shared" si="14"/>
        <v>0</v>
      </c>
      <c r="I90" s="770">
        <v>0</v>
      </c>
      <c r="J90" s="770">
        <v>0</v>
      </c>
      <c r="K90" s="770">
        <f t="shared" si="15"/>
        <v>250000</v>
      </c>
      <c r="L90" s="770">
        <v>0</v>
      </c>
      <c r="M90" s="770">
        <v>250000</v>
      </c>
    </row>
    <row r="91" spans="1:13" s="304" customFormat="1" ht="18" customHeight="1">
      <c r="A91" s="1059" t="s">
        <v>72</v>
      </c>
      <c r="B91" s="1060"/>
      <c r="C91" s="1059" t="s">
        <v>344</v>
      </c>
      <c r="D91" s="1060"/>
      <c r="E91" s="1050" t="s">
        <v>543</v>
      </c>
      <c r="F91" s="1051"/>
      <c r="G91" s="753">
        <f t="shared" si="13"/>
        <v>108639</v>
      </c>
      <c r="H91" s="753">
        <f t="shared" si="14"/>
        <v>108639</v>
      </c>
      <c r="I91" s="753">
        <v>108639</v>
      </c>
      <c r="J91" s="753">
        <v>0</v>
      </c>
      <c r="K91" s="753">
        <f t="shared" si="15"/>
        <v>0</v>
      </c>
      <c r="L91" s="753">
        <v>0</v>
      </c>
      <c r="M91" s="753">
        <v>0</v>
      </c>
    </row>
    <row r="92" spans="1:13" s="304" customFormat="1" ht="18" customHeight="1">
      <c r="A92" s="1057" t="s">
        <v>345</v>
      </c>
      <c r="B92" s="1058"/>
      <c r="C92" s="1057" t="s">
        <v>347</v>
      </c>
      <c r="D92" s="1058"/>
      <c r="E92" s="1050" t="s">
        <v>990</v>
      </c>
      <c r="F92" s="1051"/>
      <c r="G92" s="753">
        <f t="shared" si="13"/>
        <v>200000</v>
      </c>
      <c r="H92" s="753">
        <f t="shared" si="14"/>
        <v>200000</v>
      </c>
      <c r="I92" s="753">
        <v>0</v>
      </c>
      <c r="J92" s="753">
        <v>200000</v>
      </c>
      <c r="K92" s="753">
        <f t="shared" si="15"/>
        <v>0</v>
      </c>
      <c r="L92" s="753">
        <v>0</v>
      </c>
      <c r="M92" s="753">
        <v>0</v>
      </c>
    </row>
    <row r="93" spans="1:13" s="304" customFormat="1" ht="18" customHeight="1">
      <c r="A93" s="1048"/>
      <c r="B93" s="1049"/>
      <c r="C93" s="1052"/>
      <c r="D93" s="1053"/>
      <c r="E93" s="1050" t="s">
        <v>991</v>
      </c>
      <c r="F93" s="1051"/>
      <c r="G93" s="753">
        <f t="shared" si="13"/>
        <v>100000</v>
      </c>
      <c r="H93" s="753">
        <f t="shared" si="14"/>
        <v>100000</v>
      </c>
      <c r="I93" s="753">
        <v>0</v>
      </c>
      <c r="J93" s="753">
        <v>100000</v>
      </c>
      <c r="K93" s="753">
        <f t="shared" si="15"/>
        <v>0</v>
      </c>
      <c r="L93" s="753">
        <v>0</v>
      </c>
      <c r="M93" s="753">
        <v>0</v>
      </c>
    </row>
    <row r="94" spans="1:13" s="304" customFormat="1" ht="18" customHeight="1">
      <c r="A94" s="1059" t="s">
        <v>29</v>
      </c>
      <c r="B94" s="1060"/>
      <c r="C94" s="1059" t="s">
        <v>358</v>
      </c>
      <c r="D94" s="1060"/>
      <c r="E94" s="1050" t="s">
        <v>992</v>
      </c>
      <c r="F94" s="1051"/>
      <c r="G94" s="770">
        <f t="shared" si="13"/>
        <v>140000</v>
      </c>
      <c r="H94" s="770">
        <f t="shared" si="14"/>
        <v>0</v>
      </c>
      <c r="I94" s="770">
        <v>0</v>
      </c>
      <c r="J94" s="770">
        <v>0</v>
      </c>
      <c r="K94" s="770">
        <f t="shared" si="15"/>
        <v>140000</v>
      </c>
      <c r="L94" s="770">
        <v>0</v>
      </c>
      <c r="M94" s="770">
        <v>140000</v>
      </c>
    </row>
    <row r="95" spans="1:13" s="754" customFormat="1" ht="39.950000000000003" customHeight="1">
      <c r="A95" s="1044" t="s">
        <v>35</v>
      </c>
      <c r="B95" s="1045"/>
      <c r="C95" s="1044" t="s">
        <v>443</v>
      </c>
      <c r="D95" s="1045"/>
      <c r="E95" s="1046" t="s">
        <v>993</v>
      </c>
      <c r="F95" s="1047"/>
      <c r="G95" s="735">
        <f t="shared" si="13"/>
        <v>13751263</v>
      </c>
      <c r="H95" s="735">
        <f t="shared" si="14"/>
        <v>13751263</v>
      </c>
      <c r="I95" s="735">
        <v>13751263</v>
      </c>
      <c r="J95" s="735">
        <v>0</v>
      </c>
      <c r="K95" s="735">
        <f t="shared" si="15"/>
        <v>0</v>
      </c>
      <c r="L95" s="735">
        <v>0</v>
      </c>
      <c r="M95" s="735">
        <v>0</v>
      </c>
    </row>
    <row r="96" spans="1:13" s="754" customFormat="1" ht="39.950000000000003" customHeight="1">
      <c r="A96" s="1044"/>
      <c r="B96" s="1045"/>
      <c r="C96" s="1044"/>
      <c r="D96" s="1045"/>
      <c r="E96" s="1046" t="s">
        <v>994</v>
      </c>
      <c r="F96" s="1047"/>
      <c r="G96" s="735">
        <f t="shared" si="13"/>
        <v>600000</v>
      </c>
      <c r="H96" s="735">
        <f t="shared" si="14"/>
        <v>600000</v>
      </c>
      <c r="I96" s="735">
        <v>600000</v>
      </c>
      <c r="J96" s="735">
        <v>0</v>
      </c>
      <c r="K96" s="735">
        <f t="shared" si="15"/>
        <v>0</v>
      </c>
      <c r="L96" s="735">
        <v>0</v>
      </c>
      <c r="M96" s="735">
        <v>0</v>
      </c>
    </row>
    <row r="97" spans="1:13" s="754" customFormat="1" ht="30" customHeight="1">
      <c r="A97" s="1044"/>
      <c r="B97" s="1045"/>
      <c r="C97" s="1044"/>
      <c r="D97" s="1045"/>
      <c r="E97" s="1046" t="s">
        <v>995</v>
      </c>
      <c r="F97" s="1047"/>
      <c r="G97" s="735">
        <f t="shared" si="13"/>
        <v>6000000</v>
      </c>
      <c r="H97" s="735">
        <f t="shared" si="14"/>
        <v>6000000</v>
      </c>
      <c r="I97" s="735">
        <v>6000000</v>
      </c>
      <c r="J97" s="735">
        <v>0</v>
      </c>
      <c r="K97" s="735">
        <f t="shared" si="15"/>
        <v>0</v>
      </c>
      <c r="L97" s="735">
        <v>0</v>
      </c>
      <c r="M97" s="735">
        <v>0</v>
      </c>
    </row>
    <row r="98" spans="1:13" s="304" customFormat="1" ht="18" customHeight="1">
      <c r="A98" s="1048"/>
      <c r="B98" s="1049"/>
      <c r="C98" s="1057" t="s">
        <v>996</v>
      </c>
      <c r="D98" s="1058"/>
      <c r="E98" s="1050" t="s">
        <v>997</v>
      </c>
      <c r="F98" s="1051"/>
      <c r="G98" s="753">
        <f>H98+K98</f>
        <v>920000</v>
      </c>
      <c r="H98" s="753">
        <f>I98+J98</f>
        <v>250000</v>
      </c>
      <c r="I98" s="753">
        <v>0</v>
      </c>
      <c r="J98" s="753">
        <v>250000</v>
      </c>
      <c r="K98" s="753">
        <f>L98+M98</f>
        <v>670000</v>
      </c>
      <c r="L98" s="753">
        <v>0</v>
      </c>
      <c r="M98" s="753">
        <v>670000</v>
      </c>
    </row>
    <row r="99" spans="1:13" s="304" customFormat="1" ht="39.950000000000003" customHeight="1">
      <c r="A99" s="1048"/>
      <c r="B99" s="1049"/>
      <c r="C99" s="1052"/>
      <c r="D99" s="1053"/>
      <c r="E99" s="1050" t="s">
        <v>998</v>
      </c>
      <c r="F99" s="1051"/>
      <c r="G99" s="753">
        <f>H99+K99</f>
        <v>960000</v>
      </c>
      <c r="H99" s="753">
        <f>I99+J99</f>
        <v>320000</v>
      </c>
      <c r="I99" s="753">
        <v>0</v>
      </c>
      <c r="J99" s="753">
        <v>320000</v>
      </c>
      <c r="K99" s="753">
        <f>L99+M99</f>
        <v>640000</v>
      </c>
      <c r="L99" s="753">
        <v>0</v>
      </c>
      <c r="M99" s="753">
        <v>640000</v>
      </c>
    </row>
    <row r="100" spans="1:13" s="304" customFormat="1" ht="18" customHeight="1">
      <c r="A100" s="1048"/>
      <c r="B100" s="1049"/>
      <c r="C100" s="1059" t="s">
        <v>999</v>
      </c>
      <c r="D100" s="1060"/>
      <c r="E100" s="1050" t="s">
        <v>1000</v>
      </c>
      <c r="F100" s="1051"/>
      <c r="G100" s="753">
        <f t="shared" si="13"/>
        <v>350000</v>
      </c>
      <c r="H100" s="753">
        <f t="shared" si="14"/>
        <v>0</v>
      </c>
      <c r="I100" s="753">
        <v>0</v>
      </c>
      <c r="J100" s="753">
        <v>0</v>
      </c>
      <c r="K100" s="753">
        <f t="shared" si="15"/>
        <v>350000</v>
      </c>
      <c r="L100" s="753">
        <v>0</v>
      </c>
      <c r="M100" s="753">
        <v>350000</v>
      </c>
    </row>
    <row r="101" spans="1:13" s="304" customFormat="1" ht="18" customHeight="1">
      <c r="A101" s="1048"/>
      <c r="B101" s="1049"/>
      <c r="C101" s="1057" t="s">
        <v>448</v>
      </c>
      <c r="D101" s="1058"/>
      <c r="E101" s="1050" t="s">
        <v>211</v>
      </c>
      <c r="F101" s="1051"/>
      <c r="G101" s="770">
        <f t="shared" si="13"/>
        <v>30000</v>
      </c>
      <c r="H101" s="770">
        <f t="shared" si="14"/>
        <v>30000</v>
      </c>
      <c r="I101" s="770">
        <v>0</v>
      </c>
      <c r="J101" s="770">
        <v>30000</v>
      </c>
      <c r="K101" s="770">
        <f t="shared" si="15"/>
        <v>0</v>
      </c>
      <c r="L101" s="770">
        <v>0</v>
      </c>
      <c r="M101" s="770">
        <v>0</v>
      </c>
    </row>
    <row r="102" spans="1:13" s="754" customFormat="1" ht="30" customHeight="1">
      <c r="A102" s="1044"/>
      <c r="B102" s="1045"/>
      <c r="C102" s="1044"/>
      <c r="D102" s="1045"/>
      <c r="E102" s="1046" t="s">
        <v>1001</v>
      </c>
      <c r="F102" s="1047"/>
      <c r="G102" s="735">
        <f t="shared" si="13"/>
        <v>70000</v>
      </c>
      <c r="H102" s="735">
        <f t="shared" si="14"/>
        <v>0</v>
      </c>
      <c r="I102" s="735">
        <v>0</v>
      </c>
      <c r="J102" s="735">
        <v>0</v>
      </c>
      <c r="K102" s="735">
        <f t="shared" si="15"/>
        <v>70000</v>
      </c>
      <c r="L102" s="735">
        <v>0</v>
      </c>
      <c r="M102" s="735">
        <v>70000</v>
      </c>
    </row>
    <row r="103" spans="1:13" s="754" customFormat="1" ht="30" customHeight="1">
      <c r="A103" s="1044"/>
      <c r="B103" s="1045"/>
      <c r="C103" s="1044"/>
      <c r="D103" s="1045"/>
      <c r="E103" s="1046" t="s">
        <v>1002</v>
      </c>
      <c r="F103" s="1047"/>
      <c r="G103" s="735">
        <f t="shared" si="13"/>
        <v>260000</v>
      </c>
      <c r="H103" s="735">
        <f t="shared" si="14"/>
        <v>0</v>
      </c>
      <c r="I103" s="735">
        <v>0</v>
      </c>
      <c r="J103" s="735">
        <v>0</v>
      </c>
      <c r="K103" s="735">
        <f t="shared" si="15"/>
        <v>260000</v>
      </c>
      <c r="L103" s="735">
        <v>0</v>
      </c>
      <c r="M103" s="735">
        <v>260000</v>
      </c>
    </row>
    <row r="104" spans="1:13" s="754" customFormat="1" ht="30" customHeight="1">
      <c r="A104" s="1044"/>
      <c r="B104" s="1045"/>
      <c r="C104" s="1044"/>
      <c r="D104" s="1045"/>
      <c r="E104" s="1046" t="s">
        <v>1003</v>
      </c>
      <c r="F104" s="1047"/>
      <c r="G104" s="735">
        <f t="shared" si="13"/>
        <v>1405000</v>
      </c>
      <c r="H104" s="735">
        <f t="shared" si="14"/>
        <v>1405000</v>
      </c>
      <c r="I104" s="735">
        <v>145000</v>
      </c>
      <c r="J104" s="735">
        <v>1260000</v>
      </c>
      <c r="K104" s="735">
        <f t="shared" si="15"/>
        <v>0</v>
      </c>
      <c r="L104" s="735">
        <v>0</v>
      </c>
      <c r="M104" s="735">
        <v>0</v>
      </c>
    </row>
    <row r="105" spans="1:13" s="754" customFormat="1" ht="30" customHeight="1">
      <c r="A105" s="1044"/>
      <c r="B105" s="1045"/>
      <c r="C105" s="1044"/>
      <c r="D105" s="1045"/>
      <c r="E105" s="1046" t="s">
        <v>1004</v>
      </c>
      <c r="F105" s="1047"/>
      <c r="G105" s="735">
        <f t="shared" si="13"/>
        <v>135000</v>
      </c>
      <c r="H105" s="735">
        <f t="shared" si="14"/>
        <v>135000</v>
      </c>
      <c r="I105" s="735">
        <v>0</v>
      </c>
      <c r="J105" s="735">
        <v>135000</v>
      </c>
      <c r="K105" s="735">
        <f t="shared" si="15"/>
        <v>0</v>
      </c>
      <c r="L105" s="735">
        <v>0</v>
      </c>
      <c r="M105" s="735">
        <v>0</v>
      </c>
    </row>
    <row r="106" spans="1:13" s="754" customFormat="1" ht="30" customHeight="1">
      <c r="A106" s="1044"/>
      <c r="B106" s="1045"/>
      <c r="C106" s="1073"/>
      <c r="D106" s="1074"/>
      <c r="E106" s="1046" t="s">
        <v>1005</v>
      </c>
      <c r="F106" s="1047"/>
      <c r="G106" s="735">
        <f t="shared" si="13"/>
        <v>200000</v>
      </c>
      <c r="H106" s="735">
        <f t="shared" si="14"/>
        <v>200000</v>
      </c>
      <c r="I106" s="735">
        <v>200000</v>
      </c>
      <c r="J106" s="735">
        <v>0</v>
      </c>
      <c r="K106" s="735">
        <f t="shared" si="15"/>
        <v>0</v>
      </c>
      <c r="L106" s="735">
        <v>0</v>
      </c>
      <c r="M106" s="735">
        <v>0</v>
      </c>
    </row>
    <row r="107" spans="1:13" s="304" customFormat="1" ht="18" customHeight="1">
      <c r="A107" s="1052"/>
      <c r="B107" s="1053"/>
      <c r="C107" s="1057" t="s">
        <v>604</v>
      </c>
      <c r="D107" s="1058"/>
      <c r="E107" s="1050" t="s">
        <v>1006</v>
      </c>
      <c r="F107" s="1051"/>
      <c r="G107" s="770">
        <f>H107+K107</f>
        <v>250000</v>
      </c>
      <c r="H107" s="770">
        <f>I107+J107</f>
        <v>0</v>
      </c>
      <c r="I107" s="770">
        <v>0</v>
      </c>
      <c r="J107" s="770">
        <v>0</v>
      </c>
      <c r="K107" s="770">
        <f>L107+M107</f>
        <v>250000</v>
      </c>
      <c r="L107" s="770">
        <v>0</v>
      </c>
      <c r="M107" s="770">
        <v>250000</v>
      </c>
    </row>
    <row r="108" spans="1:13" s="754" customFormat="1" ht="30" customHeight="1">
      <c r="A108" s="1065" t="s">
        <v>100</v>
      </c>
      <c r="B108" s="1066"/>
      <c r="C108" s="1065" t="s">
        <v>1007</v>
      </c>
      <c r="D108" s="1066"/>
      <c r="E108" s="1046" t="s">
        <v>1008</v>
      </c>
      <c r="F108" s="1047"/>
      <c r="G108" s="775">
        <f t="shared" si="13"/>
        <v>35000</v>
      </c>
      <c r="H108" s="775">
        <f t="shared" si="14"/>
        <v>35000</v>
      </c>
      <c r="I108" s="775">
        <v>0</v>
      </c>
      <c r="J108" s="775">
        <v>35000</v>
      </c>
      <c r="K108" s="775">
        <f t="shared" si="15"/>
        <v>0</v>
      </c>
      <c r="L108" s="775">
        <v>0</v>
      </c>
      <c r="M108" s="775">
        <v>0</v>
      </c>
    </row>
    <row r="109" spans="1:13" s="304" customFormat="1" ht="18" customHeight="1">
      <c r="A109" s="1048"/>
      <c r="B109" s="1049"/>
      <c r="C109" s="1052"/>
      <c r="D109" s="1053"/>
      <c r="E109" s="1050" t="s">
        <v>1009</v>
      </c>
      <c r="F109" s="1051"/>
      <c r="G109" s="753">
        <f t="shared" si="13"/>
        <v>40000</v>
      </c>
      <c r="H109" s="753">
        <f t="shared" si="14"/>
        <v>0</v>
      </c>
      <c r="I109" s="753">
        <v>0</v>
      </c>
      <c r="J109" s="753">
        <v>0</v>
      </c>
      <c r="K109" s="753">
        <f t="shared" si="15"/>
        <v>40000</v>
      </c>
      <c r="L109" s="753">
        <v>0</v>
      </c>
      <c r="M109" s="753">
        <v>40000</v>
      </c>
    </row>
    <row r="110" spans="1:13" s="304" customFormat="1" ht="18" customHeight="1">
      <c r="A110" s="1048"/>
      <c r="B110" s="1049"/>
      <c r="C110" s="1052" t="s">
        <v>1010</v>
      </c>
      <c r="D110" s="1053"/>
      <c r="E110" s="1050" t="s">
        <v>1011</v>
      </c>
      <c r="F110" s="1051"/>
      <c r="G110" s="753">
        <f t="shared" si="13"/>
        <v>250000</v>
      </c>
      <c r="H110" s="753">
        <f t="shared" si="14"/>
        <v>0</v>
      </c>
      <c r="I110" s="753">
        <v>0</v>
      </c>
      <c r="J110" s="753">
        <v>0</v>
      </c>
      <c r="K110" s="753">
        <f t="shared" si="15"/>
        <v>250000</v>
      </c>
      <c r="L110" s="753">
        <v>0</v>
      </c>
      <c r="M110" s="753">
        <v>250000</v>
      </c>
    </row>
    <row r="111" spans="1:13" s="304" customFormat="1" ht="18" customHeight="1">
      <c r="A111" s="1057" t="s">
        <v>37</v>
      </c>
      <c r="B111" s="1058"/>
      <c r="C111" s="1057" t="s">
        <v>1012</v>
      </c>
      <c r="D111" s="1058"/>
      <c r="E111" s="1050" t="s">
        <v>1013</v>
      </c>
      <c r="F111" s="1051"/>
      <c r="G111" s="770">
        <f t="shared" si="13"/>
        <v>600000</v>
      </c>
      <c r="H111" s="770">
        <f t="shared" si="14"/>
        <v>430334</v>
      </c>
      <c r="I111" s="770">
        <v>0</v>
      </c>
      <c r="J111" s="770">
        <v>430334</v>
      </c>
      <c r="K111" s="770">
        <f t="shared" si="15"/>
        <v>169666</v>
      </c>
      <c r="L111" s="770">
        <v>0</v>
      </c>
      <c r="M111" s="770">
        <v>169666</v>
      </c>
    </row>
    <row r="112" spans="1:13" s="754" customFormat="1" ht="30" customHeight="1">
      <c r="A112" s="1044"/>
      <c r="B112" s="1045"/>
      <c r="C112" s="1075" t="s">
        <v>974</v>
      </c>
      <c r="D112" s="1076"/>
      <c r="E112" s="1046" t="s">
        <v>1014</v>
      </c>
      <c r="F112" s="1047"/>
      <c r="G112" s="775">
        <f t="shared" si="13"/>
        <v>150000</v>
      </c>
      <c r="H112" s="775">
        <f t="shared" si="14"/>
        <v>0</v>
      </c>
      <c r="I112" s="775">
        <v>0</v>
      </c>
      <c r="J112" s="775">
        <v>0</v>
      </c>
      <c r="K112" s="775">
        <f t="shared" si="15"/>
        <v>150000</v>
      </c>
      <c r="L112" s="775">
        <v>0</v>
      </c>
      <c r="M112" s="775">
        <v>150000</v>
      </c>
    </row>
    <row r="113" spans="1:13" s="304" customFormat="1" ht="18" customHeight="1">
      <c r="A113" s="1059" t="s">
        <v>7</v>
      </c>
      <c r="B113" s="1060"/>
      <c r="C113" s="1059" t="s">
        <v>1015</v>
      </c>
      <c r="D113" s="1060"/>
      <c r="E113" s="1050" t="s">
        <v>1016</v>
      </c>
      <c r="F113" s="1051"/>
      <c r="G113" s="753">
        <f t="shared" si="13"/>
        <v>278400</v>
      </c>
      <c r="H113" s="753">
        <f t="shared" si="14"/>
        <v>278400</v>
      </c>
      <c r="I113" s="753">
        <v>0</v>
      </c>
      <c r="J113" s="753">
        <v>278400</v>
      </c>
      <c r="K113" s="753">
        <f t="shared" si="15"/>
        <v>0</v>
      </c>
      <c r="L113" s="753">
        <v>0</v>
      </c>
      <c r="M113" s="753">
        <v>0</v>
      </c>
    </row>
    <row r="114" spans="1:13" s="304" customFormat="1" ht="18" customHeight="1">
      <c r="A114" s="1057" t="s">
        <v>52</v>
      </c>
      <c r="B114" s="1058"/>
      <c r="C114" s="1059" t="s">
        <v>607</v>
      </c>
      <c r="D114" s="1060"/>
      <c r="E114" s="1050" t="s">
        <v>1017</v>
      </c>
      <c r="F114" s="1051"/>
      <c r="G114" s="753">
        <f t="shared" si="13"/>
        <v>430000</v>
      </c>
      <c r="H114" s="753">
        <f t="shared" si="14"/>
        <v>0</v>
      </c>
      <c r="I114" s="753">
        <v>0</v>
      </c>
      <c r="J114" s="753">
        <v>0</v>
      </c>
      <c r="K114" s="753">
        <f t="shared" si="15"/>
        <v>430000</v>
      </c>
      <c r="L114" s="753">
        <v>0</v>
      </c>
      <c r="M114" s="753">
        <v>430000</v>
      </c>
    </row>
    <row r="115" spans="1:13" s="304" customFormat="1" ht="18" customHeight="1">
      <c r="A115" s="1048"/>
      <c r="B115" s="1049"/>
      <c r="C115" s="1057" t="s">
        <v>1018</v>
      </c>
      <c r="D115" s="1058"/>
      <c r="E115" s="1050" t="s">
        <v>1019</v>
      </c>
      <c r="F115" s="1051"/>
      <c r="G115" s="753">
        <f t="shared" si="13"/>
        <v>200000</v>
      </c>
      <c r="H115" s="753">
        <f t="shared" si="14"/>
        <v>0</v>
      </c>
      <c r="I115" s="753">
        <v>0</v>
      </c>
      <c r="J115" s="753">
        <v>0</v>
      </c>
      <c r="K115" s="753">
        <f t="shared" si="15"/>
        <v>200000</v>
      </c>
      <c r="L115" s="753">
        <v>0</v>
      </c>
      <c r="M115" s="753">
        <v>200000</v>
      </c>
    </row>
    <row r="116" spans="1:13" s="304" customFormat="1" ht="18" customHeight="1">
      <c r="A116" s="1048"/>
      <c r="B116" s="1049"/>
      <c r="C116" s="1048"/>
      <c r="D116" s="1049"/>
      <c r="E116" s="1050" t="s">
        <v>1020</v>
      </c>
      <c r="F116" s="1051"/>
      <c r="G116" s="753">
        <f t="shared" si="13"/>
        <v>300000</v>
      </c>
      <c r="H116" s="753">
        <f t="shared" si="14"/>
        <v>0</v>
      </c>
      <c r="I116" s="753">
        <v>0</v>
      </c>
      <c r="J116" s="753">
        <v>0</v>
      </c>
      <c r="K116" s="753">
        <f t="shared" si="15"/>
        <v>300000</v>
      </c>
      <c r="L116" s="753">
        <v>0</v>
      </c>
      <c r="M116" s="753">
        <v>300000</v>
      </c>
    </row>
    <row r="117" spans="1:13" s="304" customFormat="1" ht="18" customHeight="1">
      <c r="A117" s="1048"/>
      <c r="B117" s="1049"/>
      <c r="C117" s="1048"/>
      <c r="D117" s="1049"/>
      <c r="E117" s="1050" t="s">
        <v>1021</v>
      </c>
      <c r="F117" s="1051"/>
      <c r="G117" s="753">
        <f t="shared" si="13"/>
        <v>200000</v>
      </c>
      <c r="H117" s="753">
        <f t="shared" si="14"/>
        <v>0</v>
      </c>
      <c r="I117" s="753">
        <v>0</v>
      </c>
      <c r="J117" s="753">
        <v>0</v>
      </c>
      <c r="K117" s="753">
        <f t="shared" si="15"/>
        <v>200000</v>
      </c>
      <c r="L117" s="753">
        <v>0</v>
      </c>
      <c r="M117" s="753">
        <v>200000</v>
      </c>
    </row>
    <row r="118" spans="1:13" s="754" customFormat="1" ht="30" customHeight="1">
      <c r="A118" s="1044"/>
      <c r="B118" s="1045"/>
      <c r="C118" s="1044"/>
      <c r="D118" s="1045"/>
      <c r="E118" s="1046" t="s">
        <v>1022</v>
      </c>
      <c r="F118" s="1047"/>
      <c r="G118" s="775">
        <f t="shared" si="13"/>
        <v>300000</v>
      </c>
      <c r="H118" s="775">
        <f t="shared" si="14"/>
        <v>0</v>
      </c>
      <c r="I118" s="775">
        <v>0</v>
      </c>
      <c r="J118" s="775">
        <v>0</v>
      </c>
      <c r="K118" s="775">
        <f t="shared" si="15"/>
        <v>300000</v>
      </c>
      <c r="L118" s="775">
        <v>0</v>
      </c>
      <c r="M118" s="775">
        <v>300000</v>
      </c>
    </row>
    <row r="119" spans="1:13" s="754" customFormat="1" ht="30" customHeight="1">
      <c r="A119" s="1044"/>
      <c r="B119" s="1045"/>
      <c r="C119" s="1044"/>
      <c r="D119" s="1045"/>
      <c r="E119" s="1078" t="s">
        <v>1023</v>
      </c>
      <c r="F119" s="1079"/>
      <c r="G119" s="775">
        <f t="shared" si="13"/>
        <v>300000</v>
      </c>
      <c r="H119" s="775">
        <f t="shared" si="14"/>
        <v>0</v>
      </c>
      <c r="I119" s="775">
        <v>0</v>
      </c>
      <c r="J119" s="775">
        <v>0</v>
      </c>
      <c r="K119" s="775">
        <f t="shared" si="15"/>
        <v>300000</v>
      </c>
      <c r="L119" s="775">
        <v>0</v>
      </c>
      <c r="M119" s="775">
        <v>300000</v>
      </c>
    </row>
    <row r="120" spans="1:13" s="754" customFormat="1" ht="30" customHeight="1">
      <c r="A120" s="1065" t="s">
        <v>40</v>
      </c>
      <c r="B120" s="1066"/>
      <c r="C120" s="1065" t="s">
        <v>1024</v>
      </c>
      <c r="D120" s="1066"/>
      <c r="E120" s="1077" t="s">
        <v>1025</v>
      </c>
      <c r="F120" s="1047"/>
      <c r="G120" s="735">
        <f>H120+K120</f>
        <v>240000</v>
      </c>
      <c r="H120" s="735">
        <f>I120+J120</f>
        <v>240000</v>
      </c>
      <c r="I120" s="735">
        <v>0</v>
      </c>
      <c r="J120" s="735">
        <v>240000</v>
      </c>
      <c r="K120" s="735">
        <f>L120+M120</f>
        <v>0</v>
      </c>
      <c r="L120" s="735">
        <v>0</v>
      </c>
      <c r="M120" s="735">
        <v>0</v>
      </c>
    </row>
    <row r="121" spans="1:13" s="754" customFormat="1" ht="30" customHeight="1">
      <c r="A121" s="1044"/>
      <c r="B121" s="1045"/>
      <c r="C121" s="1044"/>
      <c r="D121" s="1045"/>
      <c r="E121" s="1046" t="s">
        <v>1026</v>
      </c>
      <c r="F121" s="1047"/>
      <c r="G121" s="735">
        <f t="shared" ref="G121:G122" si="16">H121+K121</f>
        <v>200000</v>
      </c>
      <c r="H121" s="735">
        <f t="shared" ref="H121:H122" si="17">I121+J121</f>
        <v>200000</v>
      </c>
      <c r="I121" s="735">
        <v>0</v>
      </c>
      <c r="J121" s="735">
        <v>200000</v>
      </c>
      <c r="K121" s="735">
        <f t="shared" ref="K121:K122" si="18">L121+M121</f>
        <v>0</v>
      </c>
      <c r="L121" s="735">
        <v>0</v>
      </c>
      <c r="M121" s="735">
        <v>0</v>
      </c>
    </row>
    <row r="122" spans="1:13" s="754" customFormat="1" ht="30" customHeight="1">
      <c r="A122" s="1044"/>
      <c r="B122" s="1045"/>
      <c r="C122" s="1044"/>
      <c r="D122" s="1045"/>
      <c r="E122" s="1046" t="s">
        <v>1027</v>
      </c>
      <c r="F122" s="1047"/>
      <c r="G122" s="735">
        <f t="shared" si="16"/>
        <v>30000</v>
      </c>
      <c r="H122" s="735">
        <f t="shared" si="17"/>
        <v>30000</v>
      </c>
      <c r="I122" s="735">
        <v>0</v>
      </c>
      <c r="J122" s="735">
        <v>30000</v>
      </c>
      <c r="K122" s="735">
        <f t="shared" si="18"/>
        <v>0</v>
      </c>
      <c r="L122" s="735">
        <v>0</v>
      </c>
      <c r="M122" s="735">
        <v>0</v>
      </c>
    </row>
    <row r="123" spans="1:13" s="754" customFormat="1" ht="30" customHeight="1">
      <c r="A123" s="1044"/>
      <c r="B123" s="1045"/>
      <c r="C123" s="1065" t="s">
        <v>463</v>
      </c>
      <c r="D123" s="1066"/>
      <c r="E123" s="1077" t="s">
        <v>1028</v>
      </c>
      <c r="F123" s="1047"/>
      <c r="G123" s="735">
        <f>H123+K123</f>
        <v>182295</v>
      </c>
      <c r="H123" s="735">
        <f>I123+J123</f>
        <v>182295</v>
      </c>
      <c r="I123" s="735">
        <v>182295</v>
      </c>
      <c r="J123" s="735">
        <v>0</v>
      </c>
      <c r="K123" s="735">
        <f>L123+M123</f>
        <v>0</v>
      </c>
      <c r="L123" s="735">
        <v>0</v>
      </c>
      <c r="M123" s="735">
        <v>0</v>
      </c>
    </row>
    <row r="124" spans="1:13" s="754" customFormat="1" ht="30" customHeight="1">
      <c r="A124" s="1044"/>
      <c r="B124" s="1045"/>
      <c r="C124" s="1044"/>
      <c r="D124" s="1045"/>
      <c r="E124" s="1046" t="s">
        <v>1029</v>
      </c>
      <c r="F124" s="1047"/>
      <c r="G124" s="735">
        <f>H124+K124</f>
        <v>55754406</v>
      </c>
      <c r="H124" s="735">
        <f>I124+J124</f>
        <v>55754406</v>
      </c>
      <c r="I124" s="735">
        <v>55754406</v>
      </c>
      <c r="J124" s="735">
        <v>0</v>
      </c>
      <c r="K124" s="735">
        <f>L124+M124</f>
        <v>0</v>
      </c>
      <c r="L124" s="735">
        <v>0</v>
      </c>
      <c r="M124" s="735">
        <v>0</v>
      </c>
    </row>
    <row r="125" spans="1:13" s="754" customFormat="1" ht="30" customHeight="1">
      <c r="A125" s="1044"/>
      <c r="B125" s="1045"/>
      <c r="C125" s="1044"/>
      <c r="D125" s="1045"/>
      <c r="E125" s="1046" t="s">
        <v>1030</v>
      </c>
      <c r="F125" s="1047"/>
      <c r="G125" s="735">
        <f>H125+K125</f>
        <v>100500</v>
      </c>
      <c r="H125" s="735">
        <f>I125+J125</f>
        <v>100500</v>
      </c>
      <c r="I125" s="735">
        <v>0</v>
      </c>
      <c r="J125" s="735">
        <v>100500</v>
      </c>
      <c r="K125" s="735">
        <f>L125+M125</f>
        <v>0</v>
      </c>
      <c r="L125" s="735">
        <v>0</v>
      </c>
      <c r="M125" s="735">
        <v>0</v>
      </c>
    </row>
    <row r="126" spans="1:13" s="754" customFormat="1" ht="39.950000000000003" customHeight="1">
      <c r="A126" s="1044"/>
      <c r="B126" s="1045"/>
      <c r="C126" s="1044"/>
      <c r="D126" s="1045"/>
      <c r="E126" s="1046" t="s">
        <v>1031</v>
      </c>
      <c r="F126" s="1047"/>
      <c r="G126" s="735">
        <f t="shared" ref="G126" si="19">H126+K126</f>
        <v>280000</v>
      </c>
      <c r="H126" s="735">
        <f t="shared" ref="H126" si="20">I126+J126</f>
        <v>280000</v>
      </c>
      <c r="I126" s="735">
        <v>280000</v>
      </c>
      <c r="J126" s="735">
        <v>0</v>
      </c>
      <c r="K126" s="735">
        <f t="shared" ref="K126" si="21">L126+M126</f>
        <v>0</v>
      </c>
      <c r="L126" s="735">
        <v>0</v>
      </c>
      <c r="M126" s="735">
        <v>0</v>
      </c>
    </row>
    <row r="127" spans="1:13" s="754" customFormat="1" ht="39.950000000000003" customHeight="1">
      <c r="A127" s="1044"/>
      <c r="B127" s="1045"/>
      <c r="C127" s="1044"/>
      <c r="D127" s="1045"/>
      <c r="E127" s="1046" t="s">
        <v>1032</v>
      </c>
      <c r="F127" s="1047"/>
      <c r="G127" s="735">
        <f t="shared" si="13"/>
        <v>250000</v>
      </c>
      <c r="H127" s="735">
        <f t="shared" si="14"/>
        <v>250000</v>
      </c>
      <c r="I127" s="735">
        <v>250000</v>
      </c>
      <c r="J127" s="735">
        <v>0</v>
      </c>
      <c r="K127" s="735">
        <f t="shared" si="15"/>
        <v>0</v>
      </c>
      <c r="L127" s="735">
        <v>0</v>
      </c>
      <c r="M127" s="735">
        <v>0</v>
      </c>
    </row>
    <row r="128" spans="1:13" s="754" customFormat="1" ht="54.95" customHeight="1">
      <c r="A128" s="1044"/>
      <c r="B128" s="1045"/>
      <c r="C128" s="1044"/>
      <c r="D128" s="1045"/>
      <c r="E128" s="1046" t="s">
        <v>1033</v>
      </c>
      <c r="F128" s="1047"/>
      <c r="G128" s="735">
        <f t="shared" si="13"/>
        <v>558000</v>
      </c>
      <c r="H128" s="735">
        <f t="shared" si="14"/>
        <v>558000</v>
      </c>
      <c r="I128" s="735">
        <v>558000</v>
      </c>
      <c r="J128" s="735">
        <v>0</v>
      </c>
      <c r="K128" s="735">
        <f t="shared" si="15"/>
        <v>0</v>
      </c>
      <c r="L128" s="735">
        <v>0</v>
      </c>
      <c r="M128" s="735">
        <v>0</v>
      </c>
    </row>
    <row r="129" spans="1:13" s="754" customFormat="1" ht="39.950000000000003" customHeight="1">
      <c r="A129" s="1044"/>
      <c r="B129" s="1045"/>
      <c r="C129" s="1073"/>
      <c r="D129" s="1074"/>
      <c r="E129" s="1046" t="s">
        <v>1034</v>
      </c>
      <c r="F129" s="1047"/>
      <c r="G129" s="735">
        <f t="shared" si="13"/>
        <v>1943362</v>
      </c>
      <c r="H129" s="735">
        <f t="shared" si="14"/>
        <v>1943362</v>
      </c>
      <c r="I129" s="735">
        <v>1870508</v>
      </c>
      <c r="J129" s="735">
        <v>72854</v>
      </c>
      <c r="K129" s="735">
        <f t="shared" si="15"/>
        <v>0</v>
      </c>
      <c r="L129" s="735">
        <v>0</v>
      </c>
      <c r="M129" s="735">
        <v>0</v>
      </c>
    </row>
    <row r="130" spans="1:13" s="754" customFormat="1" ht="30" customHeight="1">
      <c r="A130" s="1044"/>
      <c r="B130" s="1045"/>
      <c r="C130" s="1044" t="s">
        <v>559</v>
      </c>
      <c r="D130" s="1045"/>
      <c r="E130" s="1046" t="s">
        <v>1035</v>
      </c>
      <c r="F130" s="1047"/>
      <c r="G130" s="735">
        <f t="shared" si="13"/>
        <v>14192568</v>
      </c>
      <c r="H130" s="735">
        <f t="shared" si="14"/>
        <v>14192568</v>
      </c>
      <c r="I130" s="735">
        <v>14192568</v>
      </c>
      <c r="J130" s="735">
        <v>0</v>
      </c>
      <c r="K130" s="735">
        <f t="shared" si="15"/>
        <v>0</v>
      </c>
      <c r="L130" s="735">
        <v>0</v>
      </c>
      <c r="M130" s="735">
        <v>0</v>
      </c>
    </row>
    <row r="131" spans="1:13" s="754" customFormat="1" ht="39.950000000000003" customHeight="1">
      <c r="A131" s="1073"/>
      <c r="B131" s="1074"/>
      <c r="C131" s="1075" t="s">
        <v>469</v>
      </c>
      <c r="D131" s="1076"/>
      <c r="E131" s="1046" t="s">
        <v>1036</v>
      </c>
      <c r="F131" s="1047"/>
      <c r="G131" s="735">
        <f t="shared" si="13"/>
        <v>1461843</v>
      </c>
      <c r="H131" s="735">
        <f t="shared" si="14"/>
        <v>1461843</v>
      </c>
      <c r="I131" s="735">
        <v>1461843</v>
      </c>
      <c r="J131" s="735">
        <v>0</v>
      </c>
      <c r="K131" s="735">
        <f t="shared" si="15"/>
        <v>0</v>
      </c>
      <c r="L131" s="735">
        <v>0</v>
      </c>
      <c r="M131" s="735">
        <v>0</v>
      </c>
    </row>
    <row r="132" spans="1:13" s="754" customFormat="1" ht="39.950000000000003" customHeight="1">
      <c r="A132" s="1065"/>
      <c r="B132" s="1066"/>
      <c r="C132" s="1065"/>
      <c r="D132" s="1066"/>
      <c r="E132" s="1046" t="s">
        <v>1037</v>
      </c>
      <c r="F132" s="1047"/>
      <c r="G132" s="735">
        <f t="shared" si="13"/>
        <v>325858</v>
      </c>
      <c r="H132" s="735">
        <f t="shared" si="14"/>
        <v>325858</v>
      </c>
      <c r="I132" s="735">
        <v>325858</v>
      </c>
      <c r="J132" s="735">
        <v>0</v>
      </c>
      <c r="K132" s="735">
        <f t="shared" si="15"/>
        <v>0</v>
      </c>
      <c r="L132" s="735">
        <v>0</v>
      </c>
      <c r="M132" s="735">
        <v>0</v>
      </c>
    </row>
    <row r="133" spans="1:13" s="754" customFormat="1" ht="39.950000000000003" customHeight="1">
      <c r="A133" s="1044"/>
      <c r="B133" s="1045"/>
      <c r="C133" s="1044"/>
      <c r="D133" s="1045"/>
      <c r="E133" s="1046" t="s">
        <v>1038</v>
      </c>
      <c r="F133" s="1047"/>
      <c r="G133" s="735">
        <f t="shared" si="13"/>
        <v>8236332</v>
      </c>
      <c r="H133" s="735">
        <f t="shared" si="14"/>
        <v>8236332</v>
      </c>
      <c r="I133" s="735">
        <v>7871766</v>
      </c>
      <c r="J133" s="735">
        <v>364566</v>
      </c>
      <c r="K133" s="735">
        <f t="shared" si="15"/>
        <v>0</v>
      </c>
      <c r="L133" s="735">
        <v>0</v>
      </c>
      <c r="M133" s="735">
        <v>0</v>
      </c>
    </row>
    <row r="134" spans="1:13" s="754" customFormat="1" ht="39.950000000000003" customHeight="1">
      <c r="A134" s="1044"/>
      <c r="B134" s="1045"/>
      <c r="C134" s="1044"/>
      <c r="D134" s="1045"/>
      <c r="E134" s="1046" t="s">
        <v>1039</v>
      </c>
      <c r="F134" s="1047"/>
      <c r="G134" s="735">
        <f t="shared" si="13"/>
        <v>42000</v>
      </c>
      <c r="H134" s="735">
        <f t="shared" si="14"/>
        <v>42000</v>
      </c>
      <c r="I134" s="735">
        <v>0</v>
      </c>
      <c r="J134" s="735">
        <v>42000</v>
      </c>
      <c r="K134" s="735">
        <f t="shared" si="15"/>
        <v>0</v>
      </c>
      <c r="L134" s="735">
        <v>0</v>
      </c>
      <c r="M134" s="735">
        <v>0</v>
      </c>
    </row>
    <row r="135" spans="1:13" s="754" customFormat="1" ht="30" customHeight="1">
      <c r="A135" s="1044"/>
      <c r="B135" s="1045"/>
      <c r="C135" s="1044"/>
      <c r="D135" s="1045"/>
      <c r="E135" s="1046" t="s">
        <v>1040</v>
      </c>
      <c r="F135" s="1047"/>
      <c r="G135" s="735">
        <f t="shared" si="13"/>
        <v>20000</v>
      </c>
      <c r="H135" s="735">
        <f t="shared" si="14"/>
        <v>20000</v>
      </c>
      <c r="I135" s="735">
        <v>20000</v>
      </c>
      <c r="J135" s="735">
        <v>0</v>
      </c>
      <c r="K135" s="735">
        <f t="shared" si="15"/>
        <v>0</v>
      </c>
      <c r="L135" s="735">
        <v>0</v>
      </c>
      <c r="M135" s="735">
        <v>0</v>
      </c>
    </row>
    <row r="136" spans="1:13" s="754" customFormat="1" ht="30" customHeight="1">
      <c r="A136" s="1044"/>
      <c r="B136" s="1045"/>
      <c r="C136" s="1044"/>
      <c r="D136" s="1045"/>
      <c r="E136" s="1046" t="s">
        <v>1041</v>
      </c>
      <c r="F136" s="1047"/>
      <c r="G136" s="735">
        <f t="shared" si="13"/>
        <v>50000</v>
      </c>
      <c r="H136" s="735">
        <f t="shared" si="14"/>
        <v>50000</v>
      </c>
      <c r="I136" s="735">
        <v>0</v>
      </c>
      <c r="J136" s="735">
        <v>50000</v>
      </c>
      <c r="K136" s="735">
        <f t="shared" si="15"/>
        <v>0</v>
      </c>
      <c r="L136" s="735">
        <v>0</v>
      </c>
      <c r="M136" s="735">
        <v>0</v>
      </c>
    </row>
    <row r="137" spans="1:13" s="754" customFormat="1" ht="39.950000000000003" customHeight="1">
      <c r="A137" s="1044"/>
      <c r="B137" s="1045"/>
      <c r="C137" s="1044"/>
      <c r="D137" s="1045"/>
      <c r="E137" s="1046" t="s">
        <v>1042</v>
      </c>
      <c r="F137" s="1047"/>
      <c r="G137" s="735">
        <f t="shared" si="13"/>
        <v>791425</v>
      </c>
      <c r="H137" s="735">
        <f t="shared" si="14"/>
        <v>791425</v>
      </c>
      <c r="I137" s="735">
        <v>791425</v>
      </c>
      <c r="J137" s="735">
        <v>0</v>
      </c>
      <c r="K137" s="735">
        <f t="shared" si="15"/>
        <v>0</v>
      </c>
      <c r="L137" s="735">
        <v>0</v>
      </c>
      <c r="M137" s="735">
        <v>0</v>
      </c>
    </row>
    <row r="138" spans="1:13" s="754" customFormat="1" ht="30" customHeight="1">
      <c r="A138" s="1044"/>
      <c r="B138" s="1045"/>
      <c r="C138" s="1044"/>
      <c r="D138" s="1045"/>
      <c r="E138" s="1046" t="s">
        <v>1043</v>
      </c>
      <c r="F138" s="1047"/>
      <c r="G138" s="735">
        <f t="shared" si="13"/>
        <v>27000</v>
      </c>
      <c r="H138" s="735">
        <f t="shared" si="14"/>
        <v>27000</v>
      </c>
      <c r="I138" s="735">
        <v>12000</v>
      </c>
      <c r="J138" s="735">
        <v>15000</v>
      </c>
      <c r="K138" s="735">
        <f t="shared" si="15"/>
        <v>0</v>
      </c>
      <c r="L138" s="735">
        <v>0</v>
      </c>
      <c r="M138" s="735">
        <v>0</v>
      </c>
    </row>
    <row r="139" spans="1:13" s="754" customFormat="1" ht="39.950000000000003" customHeight="1">
      <c r="A139" s="1044"/>
      <c r="B139" s="1045"/>
      <c r="C139" s="1065" t="s">
        <v>473</v>
      </c>
      <c r="D139" s="1066"/>
      <c r="E139" s="1046" t="s">
        <v>1044</v>
      </c>
      <c r="F139" s="1047"/>
      <c r="G139" s="735">
        <f t="shared" si="13"/>
        <v>223000</v>
      </c>
      <c r="H139" s="735">
        <f t="shared" si="14"/>
        <v>223000</v>
      </c>
      <c r="I139" s="735">
        <v>223000</v>
      </c>
      <c r="J139" s="735">
        <v>0</v>
      </c>
      <c r="K139" s="735">
        <f t="shared" si="15"/>
        <v>0</v>
      </c>
      <c r="L139" s="735">
        <v>0</v>
      </c>
      <c r="M139" s="735">
        <v>0</v>
      </c>
    </row>
    <row r="140" spans="1:13" s="754" customFormat="1" ht="30" customHeight="1">
      <c r="A140" s="1044"/>
      <c r="B140" s="1045"/>
      <c r="C140" s="1044"/>
      <c r="D140" s="1045"/>
      <c r="E140" s="1046" t="s">
        <v>1045</v>
      </c>
      <c r="F140" s="1047"/>
      <c r="G140" s="735">
        <f t="shared" si="13"/>
        <v>19300</v>
      </c>
      <c r="H140" s="735">
        <f t="shared" si="14"/>
        <v>19300</v>
      </c>
      <c r="I140" s="735">
        <v>19300</v>
      </c>
      <c r="J140" s="735">
        <v>0</v>
      </c>
      <c r="K140" s="735">
        <f t="shared" si="15"/>
        <v>0</v>
      </c>
      <c r="L140" s="735">
        <v>0</v>
      </c>
      <c r="M140" s="735">
        <v>0</v>
      </c>
    </row>
    <row r="141" spans="1:13" s="754" customFormat="1" ht="39.950000000000003" customHeight="1">
      <c r="A141" s="1044"/>
      <c r="B141" s="1045"/>
      <c r="C141" s="1044"/>
      <c r="D141" s="1045"/>
      <c r="E141" s="1046" t="s">
        <v>1046</v>
      </c>
      <c r="F141" s="1047"/>
      <c r="G141" s="735">
        <f t="shared" si="13"/>
        <v>183653</v>
      </c>
      <c r="H141" s="735">
        <f t="shared" si="14"/>
        <v>183653</v>
      </c>
      <c r="I141" s="735">
        <v>183653</v>
      </c>
      <c r="J141" s="735">
        <v>0</v>
      </c>
      <c r="K141" s="735">
        <f t="shared" si="15"/>
        <v>0</v>
      </c>
      <c r="L141" s="735">
        <v>0</v>
      </c>
      <c r="M141" s="735">
        <v>0</v>
      </c>
    </row>
    <row r="142" spans="1:13" s="754" customFormat="1" ht="30" customHeight="1">
      <c r="A142" s="1044"/>
      <c r="B142" s="1045"/>
      <c r="C142" s="1044"/>
      <c r="D142" s="1045"/>
      <c r="E142" s="1046" t="s">
        <v>1047</v>
      </c>
      <c r="F142" s="1047"/>
      <c r="G142" s="735">
        <f t="shared" si="13"/>
        <v>64240</v>
      </c>
      <c r="H142" s="735">
        <f t="shared" si="14"/>
        <v>64240</v>
      </c>
      <c r="I142" s="735">
        <v>0</v>
      </c>
      <c r="J142" s="735">
        <v>64240</v>
      </c>
      <c r="K142" s="735">
        <f t="shared" si="15"/>
        <v>0</v>
      </c>
      <c r="L142" s="735">
        <v>0</v>
      </c>
      <c r="M142" s="735">
        <v>0</v>
      </c>
    </row>
    <row r="143" spans="1:13" s="754" customFormat="1" ht="30" customHeight="1">
      <c r="A143" s="1044"/>
      <c r="B143" s="1045"/>
      <c r="C143" s="1065" t="s">
        <v>478</v>
      </c>
      <c r="D143" s="1066"/>
      <c r="E143" s="1046" t="s">
        <v>1027</v>
      </c>
      <c r="F143" s="1047"/>
      <c r="G143" s="735">
        <f t="shared" si="13"/>
        <v>30000</v>
      </c>
      <c r="H143" s="735">
        <f t="shared" si="14"/>
        <v>30000</v>
      </c>
      <c r="I143" s="735">
        <v>0</v>
      </c>
      <c r="J143" s="735">
        <v>30000</v>
      </c>
      <c r="K143" s="735">
        <f t="shared" si="15"/>
        <v>0</v>
      </c>
      <c r="L143" s="735">
        <v>0</v>
      </c>
      <c r="M143" s="735">
        <v>0</v>
      </c>
    </row>
    <row r="144" spans="1:13" s="754" customFormat="1" ht="30" customHeight="1">
      <c r="A144" s="1044"/>
      <c r="B144" s="1045"/>
      <c r="C144" s="1044"/>
      <c r="D144" s="1045"/>
      <c r="E144" s="1046" t="s">
        <v>1048</v>
      </c>
      <c r="F144" s="1047"/>
      <c r="G144" s="735">
        <f>H144+K144</f>
        <v>29800</v>
      </c>
      <c r="H144" s="735">
        <f>I144+J144</f>
        <v>29800</v>
      </c>
      <c r="I144" s="735">
        <v>0</v>
      </c>
      <c r="J144" s="735">
        <v>29800</v>
      </c>
      <c r="K144" s="735">
        <f>L144+M144</f>
        <v>0</v>
      </c>
      <c r="L144" s="735">
        <v>0</v>
      </c>
      <c r="M144" s="735">
        <v>0</v>
      </c>
    </row>
    <row r="145" spans="1:13" s="754" customFormat="1" ht="30" customHeight="1">
      <c r="A145" s="1044"/>
      <c r="B145" s="1045"/>
      <c r="C145" s="1044"/>
      <c r="D145" s="1045"/>
      <c r="E145" s="1046" t="s">
        <v>1049</v>
      </c>
      <c r="F145" s="1047"/>
      <c r="G145" s="735">
        <f>H145+K145</f>
        <v>15000</v>
      </c>
      <c r="H145" s="735">
        <f>I145+J145</f>
        <v>15000</v>
      </c>
      <c r="I145" s="735">
        <v>0</v>
      </c>
      <c r="J145" s="735">
        <v>15000</v>
      </c>
      <c r="K145" s="735">
        <f>L145+M145</f>
        <v>0</v>
      </c>
      <c r="L145" s="735">
        <v>0</v>
      </c>
      <c r="M145" s="735">
        <v>0</v>
      </c>
    </row>
    <row r="146" spans="1:13" s="754" customFormat="1" ht="39.950000000000003" customHeight="1">
      <c r="A146" s="1044"/>
      <c r="B146" s="1045"/>
      <c r="C146" s="1044"/>
      <c r="D146" s="1045"/>
      <c r="E146" s="1046" t="s">
        <v>1050</v>
      </c>
      <c r="F146" s="1047"/>
      <c r="G146" s="735">
        <f t="shared" ref="G146" si="22">H146+K146</f>
        <v>22246496</v>
      </c>
      <c r="H146" s="735">
        <f t="shared" ref="H146" si="23">I146+J146</f>
        <v>22246496</v>
      </c>
      <c r="I146" s="735">
        <v>22246496</v>
      </c>
      <c r="J146" s="735">
        <v>0</v>
      </c>
      <c r="K146" s="735">
        <f t="shared" ref="K146" si="24">L146+M146</f>
        <v>0</v>
      </c>
      <c r="L146" s="735">
        <v>0</v>
      </c>
      <c r="M146" s="735">
        <v>0</v>
      </c>
    </row>
    <row r="147" spans="1:13" s="754" customFormat="1" ht="30" customHeight="1">
      <c r="A147" s="1073"/>
      <c r="B147" s="1074"/>
      <c r="C147" s="1073"/>
      <c r="D147" s="1074"/>
      <c r="E147" s="1046" t="s">
        <v>1051</v>
      </c>
      <c r="F147" s="1047"/>
      <c r="G147" s="735">
        <f>H147+K147</f>
        <v>42500</v>
      </c>
      <c r="H147" s="735">
        <f>I147+J147</f>
        <v>42500</v>
      </c>
      <c r="I147" s="735">
        <v>0</v>
      </c>
      <c r="J147" s="735">
        <v>42500</v>
      </c>
      <c r="K147" s="735">
        <f>L147+M147</f>
        <v>0</v>
      </c>
      <c r="L147" s="735">
        <v>0</v>
      </c>
      <c r="M147" s="735">
        <v>0</v>
      </c>
    </row>
    <row r="148" spans="1:13" s="754" customFormat="1" ht="30" customHeight="1">
      <c r="A148" s="1065"/>
      <c r="B148" s="1066"/>
      <c r="C148" s="1065"/>
      <c r="D148" s="1066"/>
      <c r="E148" s="1046" t="s">
        <v>1052</v>
      </c>
      <c r="F148" s="1047"/>
      <c r="G148" s="735">
        <f>H148+K148</f>
        <v>120614</v>
      </c>
      <c r="H148" s="735">
        <f>I148+J148</f>
        <v>120614</v>
      </c>
      <c r="I148" s="735">
        <v>120614</v>
      </c>
      <c r="J148" s="735">
        <v>0</v>
      </c>
      <c r="K148" s="735">
        <f>L148+M148</f>
        <v>0</v>
      </c>
      <c r="L148" s="735">
        <v>0</v>
      </c>
      <c r="M148" s="735">
        <v>0</v>
      </c>
    </row>
    <row r="149" spans="1:13" s="754" customFormat="1" ht="39.950000000000003" customHeight="1">
      <c r="A149" s="1044"/>
      <c r="B149" s="1045"/>
      <c r="C149" s="1044"/>
      <c r="D149" s="1045"/>
      <c r="E149" s="1046" t="s">
        <v>1053</v>
      </c>
      <c r="F149" s="1047"/>
      <c r="G149" s="735">
        <f>H149+K149</f>
        <v>85495</v>
      </c>
      <c r="H149" s="735">
        <f>I149+J149</f>
        <v>85495</v>
      </c>
      <c r="I149" s="735">
        <v>50743</v>
      </c>
      <c r="J149" s="735">
        <v>34752</v>
      </c>
      <c r="K149" s="735">
        <f>L149+M149</f>
        <v>0</v>
      </c>
      <c r="L149" s="735">
        <v>0</v>
      </c>
      <c r="M149" s="735">
        <v>0</v>
      </c>
    </row>
    <row r="150" spans="1:13" s="754" customFormat="1" ht="30" customHeight="1">
      <c r="A150" s="1044"/>
      <c r="B150" s="1045"/>
      <c r="C150" s="1073"/>
      <c r="D150" s="1074"/>
      <c r="E150" s="1046" t="s">
        <v>1054</v>
      </c>
      <c r="F150" s="1047"/>
      <c r="G150" s="735">
        <f>H150+K150</f>
        <v>250000</v>
      </c>
      <c r="H150" s="735">
        <f>I150+J150</f>
        <v>250000</v>
      </c>
      <c r="I150" s="735">
        <v>0</v>
      </c>
      <c r="J150" s="735">
        <v>250000</v>
      </c>
      <c r="K150" s="735">
        <f>L150+M150</f>
        <v>0</v>
      </c>
      <c r="L150" s="735">
        <v>0</v>
      </c>
      <c r="M150" s="735">
        <v>0</v>
      </c>
    </row>
    <row r="151" spans="1:13" s="754" customFormat="1" ht="30" customHeight="1">
      <c r="A151" s="1044"/>
      <c r="B151" s="1045"/>
      <c r="C151" s="1065" t="s">
        <v>482</v>
      </c>
      <c r="D151" s="1066"/>
      <c r="E151" s="1046" t="s">
        <v>1055</v>
      </c>
      <c r="F151" s="1047"/>
      <c r="G151" s="735">
        <f t="shared" si="13"/>
        <v>100000</v>
      </c>
      <c r="H151" s="735">
        <f t="shared" si="14"/>
        <v>100000</v>
      </c>
      <c r="I151" s="735">
        <v>0</v>
      </c>
      <c r="J151" s="735">
        <v>100000</v>
      </c>
      <c r="K151" s="735">
        <f t="shared" si="15"/>
        <v>0</v>
      </c>
      <c r="L151" s="735">
        <v>0</v>
      </c>
      <c r="M151" s="735">
        <v>0</v>
      </c>
    </row>
    <row r="152" spans="1:13" s="754" customFormat="1" ht="30" customHeight="1">
      <c r="A152" s="1044"/>
      <c r="B152" s="1045"/>
      <c r="C152" s="1044"/>
      <c r="D152" s="1045"/>
      <c r="E152" s="1046" t="s">
        <v>1056</v>
      </c>
      <c r="F152" s="1047"/>
      <c r="G152" s="735">
        <f t="shared" si="13"/>
        <v>1110974</v>
      </c>
      <c r="H152" s="735">
        <f t="shared" si="14"/>
        <v>1110974</v>
      </c>
      <c r="I152" s="735">
        <v>1110974</v>
      </c>
      <c r="J152" s="735">
        <v>0</v>
      </c>
      <c r="K152" s="735">
        <f t="shared" si="15"/>
        <v>0</v>
      </c>
      <c r="L152" s="735">
        <v>0</v>
      </c>
      <c r="M152" s="735">
        <v>0</v>
      </c>
    </row>
    <row r="153" spans="1:13" s="754" customFormat="1" ht="39.950000000000003" customHeight="1">
      <c r="A153" s="1044"/>
      <c r="B153" s="1045"/>
      <c r="C153" s="1044"/>
      <c r="D153" s="1045"/>
      <c r="E153" s="1046" t="s">
        <v>1057</v>
      </c>
      <c r="F153" s="1047"/>
      <c r="G153" s="735">
        <f t="shared" si="13"/>
        <v>238900</v>
      </c>
      <c r="H153" s="735">
        <f t="shared" si="14"/>
        <v>238900</v>
      </c>
      <c r="I153" s="735">
        <v>0</v>
      </c>
      <c r="J153" s="735">
        <v>238900</v>
      </c>
      <c r="K153" s="735">
        <f t="shared" si="15"/>
        <v>0</v>
      </c>
      <c r="L153" s="735">
        <v>0</v>
      </c>
      <c r="M153" s="735">
        <v>0</v>
      </c>
    </row>
    <row r="154" spans="1:13" s="754" customFormat="1" ht="39.950000000000003" customHeight="1">
      <c r="A154" s="1044"/>
      <c r="B154" s="1045"/>
      <c r="C154" s="1044"/>
      <c r="D154" s="1045"/>
      <c r="E154" s="1046" t="s">
        <v>1058</v>
      </c>
      <c r="F154" s="1047"/>
      <c r="G154" s="735">
        <f>H154+K154</f>
        <v>190000</v>
      </c>
      <c r="H154" s="735">
        <f>I154+J154</f>
        <v>190000</v>
      </c>
      <c r="I154" s="735">
        <v>190000</v>
      </c>
      <c r="J154" s="735">
        <v>0</v>
      </c>
      <c r="K154" s="735">
        <f>L154+M154</f>
        <v>0</v>
      </c>
      <c r="L154" s="735">
        <v>0</v>
      </c>
      <c r="M154" s="735">
        <v>0</v>
      </c>
    </row>
    <row r="155" spans="1:13" s="754" customFormat="1" ht="30" customHeight="1">
      <c r="A155" s="1044"/>
      <c r="B155" s="1045"/>
      <c r="C155" s="1044"/>
      <c r="D155" s="1045"/>
      <c r="E155" s="1046" t="s">
        <v>1059</v>
      </c>
      <c r="F155" s="1047"/>
      <c r="G155" s="735">
        <f>H155+K155</f>
        <v>401625</v>
      </c>
      <c r="H155" s="735">
        <f>I155+J155</f>
        <v>401625</v>
      </c>
      <c r="I155" s="735">
        <v>401625</v>
      </c>
      <c r="J155" s="735">
        <v>0</v>
      </c>
      <c r="K155" s="735">
        <f>L155+M155</f>
        <v>0</v>
      </c>
      <c r="L155" s="735">
        <v>0</v>
      </c>
      <c r="M155" s="735">
        <v>0</v>
      </c>
    </row>
    <row r="156" spans="1:13" s="754" customFormat="1" ht="30" customHeight="1">
      <c r="A156" s="1044"/>
      <c r="B156" s="1045"/>
      <c r="C156" s="1044"/>
      <c r="D156" s="1045"/>
      <c r="E156" s="1046" t="s">
        <v>1060</v>
      </c>
      <c r="F156" s="1047"/>
      <c r="G156" s="735">
        <f>H156+K156</f>
        <v>67500</v>
      </c>
      <c r="H156" s="735">
        <f>I156+J156</f>
        <v>67500</v>
      </c>
      <c r="I156" s="735">
        <v>67500</v>
      </c>
      <c r="J156" s="735">
        <v>0</v>
      </c>
      <c r="K156" s="735">
        <f>L156+M156</f>
        <v>0</v>
      </c>
      <c r="L156" s="735">
        <v>0</v>
      </c>
      <c r="M156" s="735">
        <v>0</v>
      </c>
    </row>
    <row r="157" spans="1:13" s="754" customFormat="1" ht="30" customHeight="1">
      <c r="A157" s="1044"/>
      <c r="B157" s="1045"/>
      <c r="C157" s="1044"/>
      <c r="D157" s="1045"/>
      <c r="E157" s="1046" t="s">
        <v>1061</v>
      </c>
      <c r="F157" s="1047"/>
      <c r="G157" s="735">
        <f>H157+K157</f>
        <v>150000</v>
      </c>
      <c r="H157" s="735">
        <f>I157+J157</f>
        <v>150000</v>
      </c>
      <c r="I157" s="735">
        <v>150000</v>
      </c>
      <c r="J157" s="735">
        <v>0</v>
      </c>
      <c r="K157" s="735">
        <f>L157+M157</f>
        <v>0</v>
      </c>
      <c r="L157" s="735">
        <v>0</v>
      </c>
      <c r="M157" s="735">
        <v>0</v>
      </c>
    </row>
    <row r="158" spans="1:13" s="754" customFormat="1" ht="30" customHeight="1">
      <c r="A158" s="1044"/>
      <c r="B158" s="1045"/>
      <c r="C158" s="1044"/>
      <c r="D158" s="1045"/>
      <c r="E158" s="1046" t="s">
        <v>1062</v>
      </c>
      <c r="F158" s="1047"/>
      <c r="G158" s="735">
        <f>H158+K158</f>
        <v>55000</v>
      </c>
      <c r="H158" s="735">
        <f>I158+J158</f>
        <v>55000</v>
      </c>
      <c r="I158" s="735">
        <v>55000</v>
      </c>
      <c r="J158" s="735">
        <v>0</v>
      </c>
      <c r="K158" s="735">
        <f>L158+M158</f>
        <v>0</v>
      </c>
      <c r="L158" s="735">
        <v>0</v>
      </c>
      <c r="M158" s="735">
        <v>0</v>
      </c>
    </row>
    <row r="159" spans="1:13" s="304" customFormat="1" ht="18" customHeight="1">
      <c r="A159" s="1048"/>
      <c r="B159" s="1049"/>
      <c r="C159" s="1059" t="s">
        <v>1063</v>
      </c>
      <c r="D159" s="1060"/>
      <c r="E159" s="1050" t="s">
        <v>1064</v>
      </c>
      <c r="F159" s="1051"/>
      <c r="G159" s="753">
        <f t="shared" si="13"/>
        <v>1845000</v>
      </c>
      <c r="H159" s="753">
        <f t="shared" si="14"/>
        <v>645000</v>
      </c>
      <c r="I159" s="753">
        <v>0</v>
      </c>
      <c r="J159" s="753">
        <v>645000</v>
      </c>
      <c r="K159" s="753">
        <f t="shared" si="15"/>
        <v>1200000</v>
      </c>
      <c r="L159" s="753">
        <v>0</v>
      </c>
      <c r="M159" s="753">
        <v>1200000</v>
      </c>
    </row>
    <row r="160" spans="1:13" s="754" customFormat="1" ht="30" customHeight="1">
      <c r="A160" s="1044"/>
      <c r="B160" s="1045"/>
      <c r="C160" s="1065" t="s">
        <v>1065</v>
      </c>
      <c r="D160" s="1066"/>
      <c r="E160" s="1046" t="s">
        <v>1066</v>
      </c>
      <c r="F160" s="1047"/>
      <c r="G160" s="735">
        <f t="shared" si="13"/>
        <v>1300000</v>
      </c>
      <c r="H160" s="735">
        <f t="shared" si="14"/>
        <v>0</v>
      </c>
      <c r="I160" s="735">
        <v>0</v>
      </c>
      <c r="J160" s="735">
        <v>0</v>
      </c>
      <c r="K160" s="735">
        <f t="shared" si="15"/>
        <v>1300000</v>
      </c>
      <c r="L160" s="735">
        <v>0</v>
      </c>
      <c r="M160" s="735">
        <v>1300000</v>
      </c>
    </row>
    <row r="161" spans="1:13" s="304" customFormat="1" ht="18" customHeight="1">
      <c r="A161" s="1048"/>
      <c r="B161" s="1049"/>
      <c r="C161" s="1048"/>
      <c r="D161" s="1049"/>
      <c r="E161" s="1050" t="s">
        <v>1067</v>
      </c>
      <c r="F161" s="1051"/>
      <c r="G161" s="753">
        <f t="shared" si="13"/>
        <v>500000</v>
      </c>
      <c r="H161" s="753">
        <f t="shared" si="14"/>
        <v>500000</v>
      </c>
      <c r="I161" s="753">
        <v>0</v>
      </c>
      <c r="J161" s="753">
        <v>500000</v>
      </c>
      <c r="K161" s="753">
        <f t="shared" si="15"/>
        <v>0</v>
      </c>
      <c r="L161" s="753">
        <v>0</v>
      </c>
      <c r="M161" s="753">
        <v>0</v>
      </c>
    </row>
    <row r="162" spans="1:13" s="304" customFormat="1" ht="18" customHeight="1">
      <c r="A162" s="1048"/>
      <c r="B162" s="1049"/>
      <c r="C162" s="1048"/>
      <c r="D162" s="1049"/>
      <c r="E162" s="1050" t="s">
        <v>1068</v>
      </c>
      <c r="F162" s="1051"/>
      <c r="G162" s="753">
        <f t="shared" ref="G162:G176" si="25">H162+K162</f>
        <v>1000000</v>
      </c>
      <c r="H162" s="753">
        <f t="shared" ref="H162:H176" si="26">I162+J162</f>
        <v>1000000</v>
      </c>
      <c r="I162" s="753">
        <v>0</v>
      </c>
      <c r="J162" s="753">
        <v>1000000</v>
      </c>
      <c r="K162" s="753">
        <f t="shared" ref="K162:K176" si="27">L162+M162</f>
        <v>0</v>
      </c>
      <c r="L162" s="753">
        <v>0</v>
      </c>
      <c r="M162" s="753">
        <v>0</v>
      </c>
    </row>
    <row r="163" spans="1:13" s="754" customFormat="1" ht="30" customHeight="1">
      <c r="A163" s="1044"/>
      <c r="B163" s="1045"/>
      <c r="C163" s="1044"/>
      <c r="D163" s="1045"/>
      <c r="E163" s="1046" t="s">
        <v>1069</v>
      </c>
      <c r="F163" s="1047"/>
      <c r="G163" s="735">
        <f t="shared" si="25"/>
        <v>50000</v>
      </c>
      <c r="H163" s="735">
        <f t="shared" si="26"/>
        <v>50000</v>
      </c>
      <c r="I163" s="735">
        <v>0</v>
      </c>
      <c r="J163" s="735">
        <v>50000</v>
      </c>
      <c r="K163" s="735">
        <f t="shared" si="27"/>
        <v>0</v>
      </c>
      <c r="L163" s="735">
        <v>0</v>
      </c>
      <c r="M163" s="735">
        <v>0</v>
      </c>
    </row>
    <row r="164" spans="1:13" s="754" customFormat="1" ht="30" customHeight="1">
      <c r="A164" s="1044"/>
      <c r="B164" s="1045"/>
      <c r="C164" s="1044"/>
      <c r="D164" s="1045"/>
      <c r="E164" s="1046" t="s">
        <v>1070</v>
      </c>
      <c r="F164" s="1047"/>
      <c r="G164" s="735">
        <f t="shared" si="25"/>
        <v>1300000</v>
      </c>
      <c r="H164" s="735">
        <f t="shared" si="26"/>
        <v>1300000</v>
      </c>
      <c r="I164" s="735">
        <v>0</v>
      </c>
      <c r="J164" s="735">
        <v>1300000</v>
      </c>
      <c r="K164" s="735">
        <f t="shared" si="27"/>
        <v>0</v>
      </c>
      <c r="L164" s="735">
        <v>0</v>
      </c>
      <c r="M164" s="735">
        <v>0</v>
      </c>
    </row>
    <row r="165" spans="1:13" s="754" customFormat="1" ht="30" customHeight="1">
      <c r="A165" s="1044"/>
      <c r="B165" s="1045"/>
      <c r="C165" s="1044"/>
      <c r="D165" s="1045"/>
      <c r="E165" s="1046" t="s">
        <v>1071</v>
      </c>
      <c r="F165" s="1047"/>
      <c r="G165" s="735">
        <f t="shared" si="25"/>
        <v>850000</v>
      </c>
      <c r="H165" s="735">
        <f t="shared" si="26"/>
        <v>850000</v>
      </c>
      <c r="I165" s="735">
        <v>0</v>
      </c>
      <c r="J165" s="735">
        <v>850000</v>
      </c>
      <c r="K165" s="735">
        <f t="shared" si="27"/>
        <v>0</v>
      </c>
      <c r="L165" s="735">
        <v>0</v>
      </c>
      <c r="M165" s="735">
        <v>0</v>
      </c>
    </row>
    <row r="166" spans="1:13" s="754" customFormat="1" ht="30" customHeight="1">
      <c r="A166" s="1073"/>
      <c r="B166" s="1074"/>
      <c r="C166" s="1073"/>
      <c r="D166" s="1074"/>
      <c r="E166" s="1046" t="s">
        <v>1026</v>
      </c>
      <c r="F166" s="1047"/>
      <c r="G166" s="735">
        <f t="shared" si="25"/>
        <v>600000</v>
      </c>
      <c r="H166" s="735">
        <f t="shared" si="26"/>
        <v>600000</v>
      </c>
      <c r="I166" s="735">
        <v>0</v>
      </c>
      <c r="J166" s="735">
        <v>600000</v>
      </c>
      <c r="K166" s="735">
        <f t="shared" si="27"/>
        <v>0</v>
      </c>
      <c r="L166" s="735">
        <v>0</v>
      </c>
      <c r="M166" s="735">
        <v>0</v>
      </c>
    </row>
    <row r="167" spans="1:13" s="754" customFormat="1" ht="39.950000000000003" customHeight="1">
      <c r="A167" s="1075"/>
      <c r="B167" s="1076"/>
      <c r="C167" s="1075"/>
      <c r="D167" s="1076"/>
      <c r="E167" s="1046" t="s">
        <v>1072</v>
      </c>
      <c r="F167" s="1047"/>
      <c r="G167" s="735">
        <f t="shared" si="25"/>
        <v>200000</v>
      </c>
      <c r="H167" s="735">
        <f t="shared" si="26"/>
        <v>200000</v>
      </c>
      <c r="I167" s="735">
        <v>0</v>
      </c>
      <c r="J167" s="735">
        <v>200000</v>
      </c>
      <c r="K167" s="735">
        <f t="shared" si="27"/>
        <v>0</v>
      </c>
      <c r="L167" s="735">
        <v>0</v>
      </c>
      <c r="M167" s="735">
        <v>0</v>
      </c>
    </row>
    <row r="168" spans="1:13" s="304" customFormat="1" ht="18" customHeight="1">
      <c r="A168" s="1057" t="s">
        <v>491</v>
      </c>
      <c r="B168" s="1058"/>
      <c r="C168" s="1057" t="s">
        <v>493</v>
      </c>
      <c r="D168" s="1058"/>
      <c r="E168" s="1050" t="s">
        <v>1073</v>
      </c>
      <c r="F168" s="1051"/>
      <c r="G168" s="770">
        <f t="shared" si="25"/>
        <v>2200000</v>
      </c>
      <c r="H168" s="770">
        <f t="shared" si="26"/>
        <v>0</v>
      </c>
      <c r="I168" s="770">
        <v>0</v>
      </c>
      <c r="J168" s="770">
        <v>0</v>
      </c>
      <c r="K168" s="770">
        <f t="shared" si="27"/>
        <v>2200000</v>
      </c>
      <c r="L168" s="770">
        <v>0</v>
      </c>
      <c r="M168" s="770">
        <v>2200000</v>
      </c>
    </row>
    <row r="169" spans="1:13" s="304" customFormat="1" ht="18" customHeight="1">
      <c r="A169" s="1048"/>
      <c r="B169" s="1049"/>
      <c r="C169" s="1048"/>
      <c r="D169" s="1049"/>
      <c r="E169" s="1050" t="s">
        <v>1074</v>
      </c>
      <c r="F169" s="1051"/>
      <c r="G169" s="770">
        <f t="shared" si="25"/>
        <v>1000000</v>
      </c>
      <c r="H169" s="770">
        <f t="shared" si="26"/>
        <v>0</v>
      </c>
      <c r="I169" s="770">
        <v>0</v>
      </c>
      <c r="J169" s="770">
        <v>0</v>
      </c>
      <c r="K169" s="770">
        <f t="shared" si="27"/>
        <v>1000000</v>
      </c>
      <c r="L169" s="770">
        <v>0</v>
      </c>
      <c r="M169" s="770">
        <v>1000000</v>
      </c>
    </row>
    <row r="170" spans="1:13" s="304" customFormat="1" ht="18" customHeight="1">
      <c r="A170" s="1048"/>
      <c r="B170" s="1049"/>
      <c r="C170" s="1048"/>
      <c r="D170" s="1049"/>
      <c r="E170" s="1050" t="s">
        <v>1075</v>
      </c>
      <c r="F170" s="1051"/>
      <c r="G170" s="770">
        <f t="shared" si="25"/>
        <v>2000000</v>
      </c>
      <c r="H170" s="770">
        <f t="shared" si="26"/>
        <v>0</v>
      </c>
      <c r="I170" s="770">
        <v>0</v>
      </c>
      <c r="J170" s="770">
        <v>0</v>
      </c>
      <c r="K170" s="770">
        <f t="shared" si="27"/>
        <v>2000000</v>
      </c>
      <c r="L170" s="770">
        <v>0</v>
      </c>
      <c r="M170" s="770">
        <v>2000000</v>
      </c>
    </row>
    <row r="171" spans="1:13" s="304" customFormat="1" ht="18" customHeight="1">
      <c r="A171" s="1048"/>
      <c r="B171" s="1049"/>
      <c r="C171" s="1048"/>
      <c r="D171" s="1049"/>
      <c r="E171" s="1050" t="s">
        <v>1076</v>
      </c>
      <c r="F171" s="1051"/>
      <c r="G171" s="770">
        <f t="shared" si="25"/>
        <v>850000</v>
      </c>
      <c r="H171" s="770">
        <f t="shared" si="26"/>
        <v>0</v>
      </c>
      <c r="I171" s="770">
        <v>0</v>
      </c>
      <c r="J171" s="770">
        <v>0</v>
      </c>
      <c r="K171" s="770">
        <f t="shared" si="27"/>
        <v>850000</v>
      </c>
      <c r="L171" s="770">
        <v>0</v>
      </c>
      <c r="M171" s="770">
        <v>850000</v>
      </c>
    </row>
    <row r="172" spans="1:13" s="304" customFormat="1" ht="18" customHeight="1">
      <c r="A172" s="1048"/>
      <c r="B172" s="1049"/>
      <c r="C172" s="1048"/>
      <c r="D172" s="1049"/>
      <c r="E172" s="1050" t="s">
        <v>495</v>
      </c>
      <c r="F172" s="1051"/>
      <c r="G172" s="770">
        <f t="shared" si="25"/>
        <v>300000</v>
      </c>
      <c r="H172" s="770">
        <f t="shared" si="26"/>
        <v>0</v>
      </c>
      <c r="I172" s="770">
        <v>0</v>
      </c>
      <c r="J172" s="770">
        <v>0</v>
      </c>
      <c r="K172" s="770">
        <f t="shared" si="27"/>
        <v>300000</v>
      </c>
      <c r="L172" s="770">
        <v>300000</v>
      </c>
      <c r="M172" s="770">
        <v>0</v>
      </c>
    </row>
    <row r="173" spans="1:13" s="304" customFormat="1" ht="18" customHeight="1">
      <c r="A173" s="1048"/>
      <c r="B173" s="1049"/>
      <c r="C173" s="1048"/>
      <c r="D173" s="1049"/>
      <c r="E173" s="1050" t="s">
        <v>1077</v>
      </c>
      <c r="F173" s="1051"/>
      <c r="G173" s="770">
        <f t="shared" si="25"/>
        <v>1800000</v>
      </c>
      <c r="H173" s="770">
        <f t="shared" si="26"/>
        <v>0</v>
      </c>
      <c r="I173" s="770">
        <v>0</v>
      </c>
      <c r="J173" s="770">
        <v>0</v>
      </c>
      <c r="K173" s="770">
        <f t="shared" si="27"/>
        <v>1800000</v>
      </c>
      <c r="L173" s="770">
        <v>0</v>
      </c>
      <c r="M173" s="770">
        <v>1800000</v>
      </c>
    </row>
    <row r="174" spans="1:13" s="754" customFormat="1" ht="30" customHeight="1">
      <c r="A174" s="1044"/>
      <c r="B174" s="1045"/>
      <c r="C174" s="1044"/>
      <c r="D174" s="1045"/>
      <c r="E174" s="1046" t="s">
        <v>497</v>
      </c>
      <c r="F174" s="1047"/>
      <c r="G174" s="775">
        <f t="shared" si="25"/>
        <v>4500000</v>
      </c>
      <c r="H174" s="775">
        <f t="shared" si="26"/>
        <v>4500000</v>
      </c>
      <c r="I174" s="775">
        <v>4500000</v>
      </c>
      <c r="J174" s="775">
        <v>0</v>
      </c>
      <c r="K174" s="775">
        <f t="shared" si="27"/>
        <v>0</v>
      </c>
      <c r="L174" s="775">
        <v>0</v>
      </c>
      <c r="M174" s="775">
        <v>0</v>
      </c>
    </row>
    <row r="175" spans="1:13" s="304" customFormat="1" ht="18" customHeight="1">
      <c r="A175" s="1048"/>
      <c r="B175" s="1049"/>
      <c r="C175" s="1048"/>
      <c r="D175" s="1049"/>
      <c r="E175" s="1050" t="s">
        <v>496</v>
      </c>
      <c r="F175" s="1051"/>
      <c r="G175" s="770">
        <f t="shared" si="25"/>
        <v>1000000</v>
      </c>
      <c r="H175" s="770">
        <f t="shared" si="26"/>
        <v>1000000</v>
      </c>
      <c r="I175" s="770">
        <v>1000000</v>
      </c>
      <c r="J175" s="770">
        <v>0</v>
      </c>
      <c r="K175" s="770">
        <f t="shared" si="27"/>
        <v>0</v>
      </c>
      <c r="L175" s="770">
        <v>0</v>
      </c>
      <c r="M175" s="770">
        <v>0</v>
      </c>
    </row>
    <row r="176" spans="1:13" s="754" customFormat="1" ht="30" customHeight="1">
      <c r="A176" s="1044"/>
      <c r="B176" s="1045"/>
      <c r="C176" s="1073"/>
      <c r="D176" s="1074"/>
      <c r="E176" s="1046" t="s">
        <v>1078</v>
      </c>
      <c r="F176" s="1047"/>
      <c r="G176" s="775">
        <f t="shared" si="25"/>
        <v>4700000</v>
      </c>
      <c r="H176" s="775">
        <f t="shared" si="26"/>
        <v>4700000</v>
      </c>
      <c r="I176" s="775">
        <v>4700000</v>
      </c>
      <c r="J176" s="775">
        <v>0</v>
      </c>
      <c r="K176" s="775">
        <f t="shared" si="27"/>
        <v>0</v>
      </c>
      <c r="L176" s="775">
        <v>0</v>
      </c>
      <c r="M176" s="775">
        <v>0</v>
      </c>
    </row>
    <row r="177" spans="1:13" s="752" customFormat="1" ht="5.25" customHeight="1">
      <c r="A177" s="766"/>
      <c r="B177" s="767"/>
      <c r="C177" s="767"/>
      <c r="D177" s="767"/>
      <c r="E177" s="767"/>
      <c r="F177" s="767"/>
      <c r="G177" s="776"/>
      <c r="H177" s="777"/>
      <c r="I177" s="777"/>
      <c r="J177" s="777"/>
      <c r="K177" s="777"/>
      <c r="L177" s="777"/>
      <c r="M177" s="778"/>
    </row>
    <row r="178" spans="1:13" s="718" customFormat="1" ht="18" customHeight="1">
      <c r="A178" s="1023" t="s">
        <v>316</v>
      </c>
      <c r="B178" s="1024"/>
      <c r="C178" s="1024"/>
      <c r="D178" s="1024"/>
      <c r="E178" s="1024"/>
      <c r="F178" s="1025"/>
      <c r="G178" s="716">
        <f t="shared" ref="G178:M178" si="28">G12</f>
        <v>646808779</v>
      </c>
      <c r="H178" s="716">
        <f t="shared" si="28"/>
        <v>363247442</v>
      </c>
      <c r="I178" s="716">
        <f t="shared" si="28"/>
        <v>197040209</v>
      </c>
      <c r="J178" s="716">
        <f t="shared" si="28"/>
        <v>166207233</v>
      </c>
      <c r="K178" s="716">
        <f t="shared" si="28"/>
        <v>283561337</v>
      </c>
      <c r="L178" s="716">
        <f t="shared" si="28"/>
        <v>772720</v>
      </c>
      <c r="M178" s="716">
        <f t="shared" si="28"/>
        <v>282788617</v>
      </c>
    </row>
    <row r="179" spans="1:13" s="304" customFormat="1" ht="3" customHeight="1">
      <c r="A179" s="697"/>
      <c r="B179" s="697"/>
      <c r="C179" s="697"/>
      <c r="D179" s="697"/>
      <c r="E179" s="698"/>
      <c r="F179" s="696"/>
      <c r="G179" s="699"/>
      <c r="H179" s="779"/>
      <c r="I179" s="779"/>
      <c r="J179" s="779"/>
      <c r="K179" s="779"/>
      <c r="L179" s="779"/>
      <c r="M179" s="779"/>
    </row>
    <row r="180" spans="1:13" ht="13.5" customHeight="1">
      <c r="A180" s="780" t="s">
        <v>1079</v>
      </c>
      <c r="B180" s="781"/>
      <c r="C180" s="782"/>
      <c r="D180" s="781"/>
      <c r="E180" s="782"/>
    </row>
    <row r="181" spans="1:13" ht="13.5" customHeight="1">
      <c r="A181" s="785" t="s">
        <v>1080</v>
      </c>
      <c r="B181" s="786"/>
      <c r="C181" s="699"/>
      <c r="D181" s="786"/>
      <c r="E181" s="699"/>
    </row>
  </sheetData>
  <sheetProtection algorithmName="SHA-512" hashValue="kcptRw8FBPcqB5wi0A5V84vBsVF6OkcuENELaEUBIZdUytIAobZP2sWvfM6uc0RshkL5BOnnFzYtXzgvY83Llw==" saltValue="wL4yMcomdXHbp5lg6sEtkg==" spinCount="100000" sheet="1" objects="1" scenarios="1"/>
  <mergeCells count="440">
    <mergeCell ref="A176:B176"/>
    <mergeCell ref="C176:D176"/>
    <mergeCell ref="E176:F176"/>
    <mergeCell ref="A178:F178"/>
    <mergeCell ref="A174:B174"/>
    <mergeCell ref="C174:D174"/>
    <mergeCell ref="E174:F174"/>
    <mergeCell ref="A175:B175"/>
    <mergeCell ref="C175:D175"/>
    <mergeCell ref="E175:F175"/>
    <mergeCell ref="A172:B172"/>
    <mergeCell ref="C172:D172"/>
    <mergeCell ref="E172:F172"/>
    <mergeCell ref="A173:B173"/>
    <mergeCell ref="C173:D173"/>
    <mergeCell ref="E173:F173"/>
    <mergeCell ref="A170:B170"/>
    <mergeCell ref="C170:D170"/>
    <mergeCell ref="E170:F170"/>
    <mergeCell ref="A171:B171"/>
    <mergeCell ref="C171:D171"/>
    <mergeCell ref="E171:F171"/>
    <mergeCell ref="A168:B168"/>
    <mergeCell ref="C168:D168"/>
    <mergeCell ref="E168:F168"/>
    <mergeCell ref="A169:B169"/>
    <mergeCell ref="C169:D169"/>
    <mergeCell ref="E169:F169"/>
    <mergeCell ref="A166:B166"/>
    <mergeCell ref="C166:D166"/>
    <mergeCell ref="E166:F166"/>
    <mergeCell ref="A167:B167"/>
    <mergeCell ref="C167:D167"/>
    <mergeCell ref="E167:F167"/>
    <mergeCell ref="A164:B164"/>
    <mergeCell ref="C164:D164"/>
    <mergeCell ref="E164:F164"/>
    <mergeCell ref="A165:B165"/>
    <mergeCell ref="C165:D165"/>
    <mergeCell ref="E165:F165"/>
    <mergeCell ref="A162:B162"/>
    <mergeCell ref="C162:D162"/>
    <mergeCell ref="E162:F162"/>
    <mergeCell ref="A163:B163"/>
    <mergeCell ref="C163:D163"/>
    <mergeCell ref="E163:F163"/>
    <mergeCell ref="A160:B160"/>
    <mergeCell ref="C160:D160"/>
    <mergeCell ref="E160:F160"/>
    <mergeCell ref="A161:B161"/>
    <mergeCell ref="C161:D161"/>
    <mergeCell ref="E161:F161"/>
    <mergeCell ref="A158:B158"/>
    <mergeCell ref="C158:D158"/>
    <mergeCell ref="E158:F158"/>
    <mergeCell ref="A159:B159"/>
    <mergeCell ref="C159:D159"/>
    <mergeCell ref="E159:F159"/>
    <mergeCell ref="A156:B156"/>
    <mergeCell ref="C156:D156"/>
    <mergeCell ref="E156:F156"/>
    <mergeCell ref="A157:B157"/>
    <mergeCell ref="C157:D157"/>
    <mergeCell ref="E157:F157"/>
    <mergeCell ref="A154:B154"/>
    <mergeCell ref="C154:D154"/>
    <mergeCell ref="E154:F154"/>
    <mergeCell ref="A155:B155"/>
    <mergeCell ref="C155:D155"/>
    <mergeCell ref="E155:F155"/>
    <mergeCell ref="A152:B152"/>
    <mergeCell ref="C152:D152"/>
    <mergeCell ref="E152:F152"/>
    <mergeCell ref="A153:B153"/>
    <mergeCell ref="C153:D153"/>
    <mergeCell ref="E153:F153"/>
    <mergeCell ref="A150:B150"/>
    <mergeCell ref="C150:D150"/>
    <mergeCell ref="E150:F150"/>
    <mergeCell ref="A151:B151"/>
    <mergeCell ref="C151:D151"/>
    <mergeCell ref="E151:F151"/>
    <mergeCell ref="A148:B148"/>
    <mergeCell ref="C148:D148"/>
    <mergeCell ref="E148:F148"/>
    <mergeCell ref="A149:B149"/>
    <mergeCell ref="C149:D149"/>
    <mergeCell ref="E149:F149"/>
    <mergeCell ref="A146:B146"/>
    <mergeCell ref="C146:D146"/>
    <mergeCell ref="E146:F146"/>
    <mergeCell ref="A147:B147"/>
    <mergeCell ref="C147:D147"/>
    <mergeCell ref="E147:F147"/>
    <mergeCell ref="A144:B144"/>
    <mergeCell ref="C144:D144"/>
    <mergeCell ref="E144:F144"/>
    <mergeCell ref="A145:B145"/>
    <mergeCell ref="C145:D145"/>
    <mergeCell ref="E145:F145"/>
    <mergeCell ref="A142:B142"/>
    <mergeCell ref="C142:D142"/>
    <mergeCell ref="E142:F142"/>
    <mergeCell ref="A143:B143"/>
    <mergeCell ref="C143:D143"/>
    <mergeCell ref="E143:F143"/>
    <mergeCell ref="A140:B140"/>
    <mergeCell ref="C140:D140"/>
    <mergeCell ref="E140:F140"/>
    <mergeCell ref="A141:B141"/>
    <mergeCell ref="C141:D141"/>
    <mergeCell ref="E141:F141"/>
    <mergeCell ref="A138:B138"/>
    <mergeCell ref="C138:D138"/>
    <mergeCell ref="E138:F138"/>
    <mergeCell ref="A139:B139"/>
    <mergeCell ref="C139:D139"/>
    <mergeCell ref="E139:F139"/>
    <mergeCell ref="A136:B136"/>
    <mergeCell ref="C136:D136"/>
    <mergeCell ref="E136:F136"/>
    <mergeCell ref="A137:B137"/>
    <mergeCell ref="C137:D137"/>
    <mergeCell ref="E137:F137"/>
    <mergeCell ref="A134:B134"/>
    <mergeCell ref="C134:D134"/>
    <mergeCell ref="E134:F134"/>
    <mergeCell ref="A135:B135"/>
    <mergeCell ref="C135:D135"/>
    <mergeCell ref="E135:F135"/>
    <mergeCell ref="A132:B132"/>
    <mergeCell ref="C132:D132"/>
    <mergeCell ref="E132:F132"/>
    <mergeCell ref="A133:B133"/>
    <mergeCell ref="C133:D133"/>
    <mergeCell ref="E133:F133"/>
    <mergeCell ref="A130:B130"/>
    <mergeCell ref="C130:D130"/>
    <mergeCell ref="E130:F130"/>
    <mergeCell ref="A131:B131"/>
    <mergeCell ref="C131:D131"/>
    <mergeCell ref="E131:F131"/>
    <mergeCell ref="A128:B128"/>
    <mergeCell ref="C128:D128"/>
    <mergeCell ref="E128:F128"/>
    <mergeCell ref="A129:B129"/>
    <mergeCell ref="C129:D129"/>
    <mergeCell ref="E129:F129"/>
    <mergeCell ref="A126:B126"/>
    <mergeCell ref="C126:D126"/>
    <mergeCell ref="E126:F126"/>
    <mergeCell ref="A127:B127"/>
    <mergeCell ref="C127:D127"/>
    <mergeCell ref="E127:F127"/>
    <mergeCell ref="A124:B124"/>
    <mergeCell ref="C124:D124"/>
    <mergeCell ref="E124:F124"/>
    <mergeCell ref="A125:B125"/>
    <mergeCell ref="C125:D125"/>
    <mergeCell ref="E125:F125"/>
    <mergeCell ref="A122:B122"/>
    <mergeCell ref="C122:D122"/>
    <mergeCell ref="E122:F122"/>
    <mergeCell ref="A123:B123"/>
    <mergeCell ref="C123:D123"/>
    <mergeCell ref="E123:F123"/>
    <mergeCell ref="A120:B120"/>
    <mergeCell ref="C120:D120"/>
    <mergeCell ref="E120:F120"/>
    <mergeCell ref="A121:B121"/>
    <mergeCell ref="C121:D121"/>
    <mergeCell ref="E121:F121"/>
    <mergeCell ref="A118:B118"/>
    <mergeCell ref="C118:D118"/>
    <mergeCell ref="E118:F118"/>
    <mergeCell ref="A119:B119"/>
    <mergeCell ref="C119:D119"/>
    <mergeCell ref="E119:F119"/>
    <mergeCell ref="A116:B116"/>
    <mergeCell ref="C116:D116"/>
    <mergeCell ref="E116:F116"/>
    <mergeCell ref="A117:B117"/>
    <mergeCell ref="C117:D117"/>
    <mergeCell ref="E117:F117"/>
    <mergeCell ref="A114:B114"/>
    <mergeCell ref="C114:D114"/>
    <mergeCell ref="E114:F114"/>
    <mergeCell ref="A115:B115"/>
    <mergeCell ref="C115:D115"/>
    <mergeCell ref="E115:F115"/>
    <mergeCell ref="A112:B112"/>
    <mergeCell ref="C112:D112"/>
    <mergeCell ref="E112:F112"/>
    <mergeCell ref="A113:B113"/>
    <mergeCell ref="C113:D113"/>
    <mergeCell ref="E113:F113"/>
    <mergeCell ref="A110:B110"/>
    <mergeCell ref="C110:D110"/>
    <mergeCell ref="E110:F110"/>
    <mergeCell ref="A111:B111"/>
    <mergeCell ref="C111:D111"/>
    <mergeCell ref="E111:F111"/>
    <mergeCell ref="A108:B108"/>
    <mergeCell ref="C108:D108"/>
    <mergeCell ref="E108:F108"/>
    <mergeCell ref="A109:B109"/>
    <mergeCell ref="C109:D109"/>
    <mergeCell ref="E109:F109"/>
    <mergeCell ref="A106:B106"/>
    <mergeCell ref="C106:D106"/>
    <mergeCell ref="E106:F106"/>
    <mergeCell ref="A107:B107"/>
    <mergeCell ref="C107:D107"/>
    <mergeCell ref="E107:F107"/>
    <mergeCell ref="A104:B104"/>
    <mergeCell ref="C104:D104"/>
    <mergeCell ref="E104:F104"/>
    <mergeCell ref="A105:B105"/>
    <mergeCell ref="C105:D105"/>
    <mergeCell ref="E105:F105"/>
    <mergeCell ref="A102:B102"/>
    <mergeCell ref="C102:D102"/>
    <mergeCell ref="E102:F102"/>
    <mergeCell ref="A103:B103"/>
    <mergeCell ref="C103:D103"/>
    <mergeCell ref="E103:F103"/>
    <mergeCell ref="A100:B100"/>
    <mergeCell ref="C100:D100"/>
    <mergeCell ref="E100:F100"/>
    <mergeCell ref="A101:B101"/>
    <mergeCell ref="C101:D101"/>
    <mergeCell ref="E101:F101"/>
    <mergeCell ref="A98:B98"/>
    <mergeCell ref="C98:D98"/>
    <mergeCell ref="E98:F98"/>
    <mergeCell ref="A99:B99"/>
    <mergeCell ref="C99:D99"/>
    <mergeCell ref="E99:F99"/>
    <mergeCell ref="A96:B96"/>
    <mergeCell ref="C96:D96"/>
    <mergeCell ref="E96:F96"/>
    <mergeCell ref="A97:B97"/>
    <mergeCell ref="C97:D97"/>
    <mergeCell ref="E97:F97"/>
    <mergeCell ref="A94:B94"/>
    <mergeCell ref="C94:D94"/>
    <mergeCell ref="E94:F94"/>
    <mergeCell ref="A95:B95"/>
    <mergeCell ref="C95:D95"/>
    <mergeCell ref="E95:F95"/>
    <mergeCell ref="A92:B92"/>
    <mergeCell ref="C92:D92"/>
    <mergeCell ref="E92:F92"/>
    <mergeCell ref="A93:B93"/>
    <mergeCell ref="C93:D93"/>
    <mergeCell ref="E93:F93"/>
    <mergeCell ref="A90:B90"/>
    <mergeCell ref="C90:D90"/>
    <mergeCell ref="E90:F90"/>
    <mergeCell ref="A91:B91"/>
    <mergeCell ref="C91:D91"/>
    <mergeCell ref="E91:F91"/>
    <mergeCell ref="A88:B88"/>
    <mergeCell ref="C88:D88"/>
    <mergeCell ref="E88:F88"/>
    <mergeCell ref="A89:B89"/>
    <mergeCell ref="C89:D89"/>
    <mergeCell ref="E89:F89"/>
    <mergeCell ref="A86:B86"/>
    <mergeCell ref="C86:D86"/>
    <mergeCell ref="E86:F86"/>
    <mergeCell ref="A87:B87"/>
    <mergeCell ref="C87:D87"/>
    <mergeCell ref="E87:F87"/>
    <mergeCell ref="A84:B84"/>
    <mergeCell ref="C84:D84"/>
    <mergeCell ref="E84:F84"/>
    <mergeCell ref="A85:B85"/>
    <mergeCell ref="C85:D85"/>
    <mergeCell ref="E85:F85"/>
    <mergeCell ref="A82:B82"/>
    <mergeCell ref="C82:D82"/>
    <mergeCell ref="E82:F82"/>
    <mergeCell ref="A83:B83"/>
    <mergeCell ref="C83:D83"/>
    <mergeCell ref="E83:F83"/>
    <mergeCell ref="A80:B80"/>
    <mergeCell ref="C80:D80"/>
    <mergeCell ref="E80:F80"/>
    <mergeCell ref="A81:B81"/>
    <mergeCell ref="C81:D81"/>
    <mergeCell ref="E81:F81"/>
    <mergeCell ref="A74:B74"/>
    <mergeCell ref="C74:D74"/>
    <mergeCell ref="A75:B75"/>
    <mergeCell ref="C75:D75"/>
    <mergeCell ref="A77:F77"/>
    <mergeCell ref="A79:B79"/>
    <mergeCell ref="C79:D79"/>
    <mergeCell ref="E79:F79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6:B56"/>
    <mergeCell ref="C56:D56"/>
    <mergeCell ref="A58:F58"/>
    <mergeCell ref="A60:B60"/>
    <mergeCell ref="C60:D60"/>
    <mergeCell ref="A61:B61"/>
    <mergeCell ref="C61:D61"/>
    <mergeCell ref="A49:B49"/>
    <mergeCell ref="C49:D49"/>
    <mergeCell ref="E49:F49"/>
    <mergeCell ref="A51:F51"/>
    <mergeCell ref="A53:F53"/>
    <mergeCell ref="A55:B55"/>
    <mergeCell ref="C55:D55"/>
    <mergeCell ref="A47:B47"/>
    <mergeCell ref="C47:D47"/>
    <mergeCell ref="E47:F47"/>
    <mergeCell ref="A48:B48"/>
    <mergeCell ref="C48:D48"/>
    <mergeCell ref="E48:F48"/>
    <mergeCell ref="A45:B45"/>
    <mergeCell ref="C45:D45"/>
    <mergeCell ref="E45:F45"/>
    <mergeCell ref="A46:B46"/>
    <mergeCell ref="C46:D46"/>
    <mergeCell ref="E46:F46"/>
    <mergeCell ref="A43:B43"/>
    <mergeCell ref="C43:D43"/>
    <mergeCell ref="E43:F43"/>
    <mergeCell ref="A44:B44"/>
    <mergeCell ref="C44:D44"/>
    <mergeCell ref="E44:F44"/>
    <mergeCell ref="A41:B41"/>
    <mergeCell ref="C41:D41"/>
    <mergeCell ref="E41:F41"/>
    <mergeCell ref="A42:B42"/>
    <mergeCell ref="C42:D42"/>
    <mergeCell ref="E42:F42"/>
    <mergeCell ref="A39:B39"/>
    <mergeCell ref="C39:D39"/>
    <mergeCell ref="E39:F39"/>
    <mergeCell ref="A40:B40"/>
    <mergeCell ref="C40:D40"/>
    <mergeCell ref="E40:F40"/>
    <mergeCell ref="A37:B37"/>
    <mergeCell ref="C37:D37"/>
    <mergeCell ref="E37:F37"/>
    <mergeCell ref="A38:B38"/>
    <mergeCell ref="C38:D38"/>
    <mergeCell ref="E38:F38"/>
    <mergeCell ref="A35:B35"/>
    <mergeCell ref="C35:D35"/>
    <mergeCell ref="E35:F35"/>
    <mergeCell ref="A36:B36"/>
    <mergeCell ref="C36:D36"/>
    <mergeCell ref="E36:F36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29:B29"/>
    <mergeCell ref="C29:D29"/>
    <mergeCell ref="E29:F29"/>
    <mergeCell ref="A30:B30"/>
    <mergeCell ref="C30:D30"/>
    <mergeCell ref="E30:F30"/>
    <mergeCell ref="A27:B27"/>
    <mergeCell ref="C27:D27"/>
    <mergeCell ref="E27:F27"/>
    <mergeCell ref="A28:B28"/>
    <mergeCell ref="C28:D28"/>
    <mergeCell ref="E28:F28"/>
    <mergeCell ref="A20:B20"/>
    <mergeCell ref="C20:D20"/>
    <mergeCell ref="E20:F20"/>
    <mergeCell ref="A22:F22"/>
    <mergeCell ref="A24:F24"/>
    <mergeCell ref="A26:B26"/>
    <mergeCell ref="C26:D26"/>
    <mergeCell ref="E26:F26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H8:H9"/>
    <mergeCell ref="K8:K9"/>
    <mergeCell ref="A10:B10"/>
    <mergeCell ref="C10:D10"/>
    <mergeCell ref="A12:F12"/>
    <mergeCell ref="A14:F14"/>
    <mergeCell ref="H1:J1"/>
    <mergeCell ref="K1:M1"/>
    <mergeCell ref="A4:M4"/>
    <mergeCell ref="A5:M5"/>
    <mergeCell ref="A7:B9"/>
    <mergeCell ref="C7:D9"/>
    <mergeCell ref="E7:F8"/>
    <mergeCell ref="G7:G9"/>
    <mergeCell ref="H7:J7"/>
    <mergeCell ref="K7:M7"/>
  </mergeCells>
  <printOptions horizontalCentered="1"/>
  <pageMargins left="0.59055118110236227" right="0.59055118110236227" top="0.98425196850393704" bottom="0.74803149606299213" header="0.51181102362204722" footer="0.51181102362204722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56"/>
  <sheetViews>
    <sheetView view="pageBreakPreview" topLeftCell="A139" zoomScale="124" zoomScaleNormal="100" zoomScaleSheetLayoutView="124" workbookViewId="0">
      <selection activeCell="C159" sqref="C159"/>
    </sheetView>
  </sheetViews>
  <sheetFormatPr defaultColWidth="9" defaultRowHeight="15"/>
  <cols>
    <col min="1" max="1" width="4.75" style="1" customWidth="1"/>
    <col min="2" max="2" width="8.5" style="1" customWidth="1"/>
    <col min="3" max="3" width="69.875" style="3" customWidth="1"/>
    <col min="4" max="5" width="12" style="3" customWidth="1"/>
    <col min="6" max="16384" width="9" style="3"/>
  </cols>
  <sheetData>
    <row r="1" spans="1:5" s="831" customFormat="1" ht="12.75" customHeight="1">
      <c r="A1" s="830"/>
      <c r="B1" s="2"/>
      <c r="C1" s="1083" t="s">
        <v>1158</v>
      </c>
      <c r="D1" s="1083"/>
      <c r="E1" s="1083"/>
    </row>
    <row r="2" spans="1:5" s="831" customFormat="1" ht="12.75" customHeight="1">
      <c r="A2" s="830"/>
      <c r="B2" s="2"/>
      <c r="C2" s="1083" t="s">
        <v>280</v>
      </c>
      <c r="D2" s="1083"/>
      <c r="E2" s="1083"/>
    </row>
    <row r="3" spans="1:5" s="831" customFormat="1" ht="12.75" customHeight="1">
      <c r="A3" s="830"/>
      <c r="B3" s="2"/>
      <c r="C3" s="1083" t="s">
        <v>281</v>
      </c>
      <c r="D3" s="1083"/>
      <c r="E3" s="1083"/>
    </row>
    <row r="4" spans="1:5" s="4" customFormat="1" ht="36.75" customHeight="1">
      <c r="A4" s="1084" t="s">
        <v>212</v>
      </c>
      <c r="B4" s="1085"/>
      <c r="C4" s="1085"/>
      <c r="D4" s="1085"/>
      <c r="E4" s="1085"/>
    </row>
    <row r="5" spans="1:5" s="4" customFormat="1" ht="18" customHeight="1">
      <c r="A5" s="1028" t="s">
        <v>213</v>
      </c>
      <c r="B5" s="1028"/>
      <c r="C5" s="1028"/>
      <c r="D5" s="1028"/>
      <c r="E5" s="1028"/>
    </row>
    <row r="6" spans="1:5" s="4" customFormat="1" ht="18" customHeight="1">
      <c r="A6" s="1028" t="s">
        <v>277</v>
      </c>
      <c r="B6" s="1028"/>
      <c r="C6" s="1028"/>
      <c r="D6" s="1028"/>
      <c r="E6" s="1028"/>
    </row>
    <row r="7" spans="1:5" ht="11.25" customHeight="1">
      <c r="A7" s="5"/>
      <c r="B7" s="5"/>
      <c r="C7" s="6"/>
      <c r="D7" s="6"/>
      <c r="E7" s="7" t="s">
        <v>15</v>
      </c>
    </row>
    <row r="8" spans="1:5" s="874" customFormat="1" ht="30.75" customHeight="1">
      <c r="A8" s="873" t="s">
        <v>209</v>
      </c>
      <c r="B8" s="164" t="s">
        <v>214</v>
      </c>
      <c r="C8" s="873" t="s">
        <v>215</v>
      </c>
      <c r="D8" s="164" t="s">
        <v>207</v>
      </c>
      <c r="E8" s="873" t="s">
        <v>208</v>
      </c>
    </row>
    <row r="9" spans="1:5" s="176" customFormat="1" ht="11.25" customHeight="1">
      <c r="A9" s="213">
        <v>1</v>
      </c>
      <c r="B9" s="172">
        <v>2</v>
      </c>
      <c r="C9" s="173">
        <v>3</v>
      </c>
      <c r="D9" s="174">
        <v>4</v>
      </c>
      <c r="E9" s="175">
        <v>5</v>
      </c>
    </row>
    <row r="10" spans="1:5" s="13" customFormat="1" ht="18" customHeight="1">
      <c r="A10" s="8">
        <v>1</v>
      </c>
      <c r="B10" s="9"/>
      <c r="C10" s="10" t="s">
        <v>216</v>
      </c>
      <c r="D10" s="11">
        <f>D11</f>
        <v>8000000</v>
      </c>
      <c r="E10" s="11">
        <f>E14</f>
        <v>13000000</v>
      </c>
    </row>
    <row r="11" spans="1:5" s="98" customFormat="1" ht="16.5" customHeight="1">
      <c r="A11" s="95"/>
      <c r="B11" s="93" t="s">
        <v>64</v>
      </c>
      <c r="C11" s="163" t="s">
        <v>217</v>
      </c>
      <c r="D11" s="96">
        <f>D12+D13</f>
        <v>8000000</v>
      </c>
      <c r="E11" s="97"/>
    </row>
    <row r="12" spans="1:5" s="98" customFormat="1" ht="16.5" customHeight="1">
      <c r="A12" s="95"/>
      <c r="B12" s="99" t="s">
        <v>47</v>
      </c>
      <c r="C12" s="100" t="s">
        <v>48</v>
      </c>
      <c r="D12" s="101">
        <v>7970000</v>
      </c>
      <c r="E12" s="102"/>
    </row>
    <row r="13" spans="1:5" s="98" customFormat="1" ht="16.5" customHeight="1">
      <c r="A13" s="95"/>
      <c r="B13" s="103" t="s">
        <v>132</v>
      </c>
      <c r="C13" s="104" t="s">
        <v>133</v>
      </c>
      <c r="D13" s="105">
        <v>30000</v>
      </c>
      <c r="E13" s="106"/>
    </row>
    <row r="14" spans="1:5" s="98" customFormat="1" ht="16.5" customHeight="1">
      <c r="A14" s="95"/>
      <c r="B14" s="93" t="s">
        <v>64</v>
      </c>
      <c r="C14" s="94" t="s">
        <v>210</v>
      </c>
      <c r="D14" s="97"/>
      <c r="E14" s="96">
        <f>SUM(E15:E24)</f>
        <v>13000000</v>
      </c>
    </row>
    <row r="15" spans="1:5" s="98" customFormat="1" ht="17.25" customHeight="1">
      <c r="A15" s="95"/>
      <c r="B15" s="107">
        <v>4010</v>
      </c>
      <c r="C15" s="100" t="s">
        <v>188</v>
      </c>
      <c r="D15" s="102"/>
      <c r="E15" s="108">
        <v>290000</v>
      </c>
    </row>
    <row r="16" spans="1:5" s="98" customFormat="1" ht="17.25" customHeight="1">
      <c r="A16" s="95"/>
      <c r="B16" s="107">
        <v>4040</v>
      </c>
      <c r="C16" s="100" t="s">
        <v>189</v>
      </c>
      <c r="D16" s="102"/>
      <c r="E16" s="108">
        <v>24650</v>
      </c>
    </row>
    <row r="17" spans="1:10" s="98" customFormat="1" ht="17.25" customHeight="1">
      <c r="A17" s="95"/>
      <c r="B17" s="107">
        <v>4110</v>
      </c>
      <c r="C17" s="109" t="s">
        <v>190</v>
      </c>
      <c r="D17" s="102"/>
      <c r="E17" s="108">
        <v>54088</v>
      </c>
    </row>
    <row r="18" spans="1:10" s="98" customFormat="1" ht="17.25" customHeight="1">
      <c r="A18" s="95"/>
      <c r="B18" s="107">
        <v>4120</v>
      </c>
      <c r="C18" s="110" t="s">
        <v>191</v>
      </c>
      <c r="D18" s="102"/>
      <c r="E18" s="108">
        <v>7709</v>
      </c>
    </row>
    <row r="19" spans="1:10" s="115" customFormat="1" ht="17.25" customHeight="1">
      <c r="A19" s="111"/>
      <c r="B19" s="112">
        <v>4210</v>
      </c>
      <c r="C19" s="113" t="s">
        <v>194</v>
      </c>
      <c r="D19" s="101"/>
      <c r="E19" s="101">
        <v>15000</v>
      </c>
      <c r="F19" s="114"/>
      <c r="G19" s="114"/>
      <c r="H19" s="114"/>
      <c r="I19" s="114"/>
      <c r="J19" s="114"/>
    </row>
    <row r="20" spans="1:10" s="115" customFormat="1" ht="17.25" customHeight="1">
      <c r="A20" s="111"/>
      <c r="B20" s="116">
        <v>4300</v>
      </c>
      <c r="C20" s="117" t="s">
        <v>197</v>
      </c>
      <c r="D20" s="105"/>
      <c r="E20" s="105">
        <v>3000</v>
      </c>
      <c r="F20" s="114"/>
      <c r="G20" s="114"/>
      <c r="H20" s="114"/>
      <c r="I20" s="114"/>
      <c r="J20" s="114"/>
    </row>
    <row r="21" spans="1:10" s="115" customFormat="1" ht="17.25" customHeight="1">
      <c r="A21" s="111"/>
      <c r="B21" s="116">
        <v>4610</v>
      </c>
      <c r="C21" s="118" t="s">
        <v>199</v>
      </c>
      <c r="D21" s="105"/>
      <c r="E21" s="105">
        <v>1000</v>
      </c>
      <c r="F21" s="114"/>
      <c r="G21" s="114"/>
      <c r="H21" s="114"/>
      <c r="I21" s="114"/>
      <c r="J21" s="114"/>
    </row>
    <row r="22" spans="1:10" s="115" customFormat="1" ht="17.25" customHeight="1">
      <c r="A22" s="111"/>
      <c r="B22" s="116">
        <v>4700</v>
      </c>
      <c r="C22" s="118" t="s">
        <v>218</v>
      </c>
      <c r="D22" s="105"/>
      <c r="E22" s="105">
        <v>3000</v>
      </c>
      <c r="F22" s="114"/>
      <c r="G22" s="114"/>
      <c r="H22" s="114"/>
      <c r="I22" s="114"/>
      <c r="J22" s="114"/>
    </row>
    <row r="23" spans="1:10" s="98" customFormat="1" ht="32.25" customHeight="1">
      <c r="A23" s="95"/>
      <c r="B23" s="107">
        <v>6230</v>
      </c>
      <c r="C23" s="119" t="s">
        <v>200</v>
      </c>
      <c r="D23" s="102"/>
      <c r="E23" s="108">
        <v>300000</v>
      </c>
    </row>
    <row r="24" spans="1:10" s="98" customFormat="1" ht="32.25" customHeight="1">
      <c r="A24" s="120"/>
      <c r="B24" s="107">
        <v>6610</v>
      </c>
      <c r="C24" s="119" t="s">
        <v>201</v>
      </c>
      <c r="D24" s="102"/>
      <c r="E24" s="108">
        <v>12301553</v>
      </c>
    </row>
    <row r="25" spans="1:10" s="199" customFormat="1" ht="18" customHeight="1">
      <c r="A25" s="195">
        <v>2</v>
      </c>
      <c r="B25" s="196"/>
      <c r="C25" s="197" t="s">
        <v>261</v>
      </c>
      <c r="D25" s="16">
        <f>D26</f>
        <v>6875000</v>
      </c>
      <c r="E25" s="16">
        <f>E28</f>
        <v>6875000</v>
      </c>
      <c r="F25" s="198"/>
      <c r="G25" s="198"/>
      <c r="H25" s="198"/>
      <c r="I25" s="198"/>
      <c r="J25" s="198"/>
    </row>
    <row r="26" spans="1:10" s="199" customFormat="1" ht="18" customHeight="1">
      <c r="A26" s="200"/>
      <c r="B26" s="201">
        <v>60001</v>
      </c>
      <c r="C26" s="202" t="s">
        <v>262</v>
      </c>
      <c r="D26" s="140">
        <f>D27</f>
        <v>6875000</v>
      </c>
      <c r="E26" s="140"/>
      <c r="F26" s="198"/>
      <c r="G26" s="198"/>
      <c r="H26" s="198"/>
      <c r="I26" s="198"/>
      <c r="J26" s="198"/>
    </row>
    <row r="27" spans="1:10" s="199" customFormat="1" ht="51" customHeight="1">
      <c r="A27" s="212"/>
      <c r="B27" s="203" t="s">
        <v>282</v>
      </c>
      <c r="C27" s="204" t="s">
        <v>283</v>
      </c>
      <c r="D27" s="129">
        <v>6875000</v>
      </c>
      <c r="E27" s="134"/>
      <c r="F27" s="198"/>
      <c r="G27" s="198"/>
      <c r="H27" s="198"/>
      <c r="I27" s="198"/>
      <c r="J27" s="198"/>
    </row>
    <row r="28" spans="1:10" s="199" customFormat="1" ht="33.75" customHeight="1">
      <c r="A28" s="200"/>
      <c r="B28" s="205">
        <v>60001</v>
      </c>
      <c r="C28" s="206" t="s">
        <v>265</v>
      </c>
      <c r="D28" s="143"/>
      <c r="E28" s="143">
        <f>E29</f>
        <v>6875000</v>
      </c>
      <c r="F28" s="198"/>
      <c r="G28" s="198"/>
      <c r="H28" s="198"/>
      <c r="I28" s="198"/>
      <c r="J28" s="198"/>
    </row>
    <row r="29" spans="1:10" s="199" customFormat="1" ht="18" customHeight="1">
      <c r="A29" s="207"/>
      <c r="B29" s="208">
        <v>6060</v>
      </c>
      <c r="C29" s="209" t="s">
        <v>263</v>
      </c>
      <c r="D29" s="134"/>
      <c r="E29" s="129">
        <v>6875000</v>
      </c>
      <c r="F29" s="198"/>
      <c r="G29" s="198"/>
      <c r="H29" s="198"/>
      <c r="I29" s="198"/>
      <c r="J29" s="198"/>
    </row>
    <row r="30" spans="1:10" s="13" customFormat="1" ht="18.75" customHeight="1">
      <c r="A30" s="8">
        <v>3</v>
      </c>
      <c r="B30" s="164"/>
      <c r="C30" s="10" t="s">
        <v>249</v>
      </c>
      <c r="D30" s="11">
        <f>D31</f>
        <v>15327788</v>
      </c>
      <c r="E30" s="11">
        <f>E33+E35+E39+E37</f>
        <v>15327788</v>
      </c>
    </row>
    <row r="31" spans="1:10" s="98" customFormat="1" ht="18.75" customHeight="1">
      <c r="A31" s="95"/>
      <c r="B31" s="93" t="s">
        <v>250</v>
      </c>
      <c r="C31" s="181" t="s">
        <v>253</v>
      </c>
      <c r="D31" s="96">
        <f>D32</f>
        <v>15327788</v>
      </c>
      <c r="E31" s="97"/>
    </row>
    <row r="32" spans="1:10" s="98" customFormat="1" ht="46.5" customHeight="1">
      <c r="A32" s="95"/>
      <c r="B32" s="177">
        <v>6290</v>
      </c>
      <c r="C32" s="178" t="s">
        <v>283</v>
      </c>
      <c r="D32" s="129">
        <v>15327788</v>
      </c>
      <c r="E32" s="179"/>
    </row>
    <row r="33" spans="1:10" s="98" customFormat="1" ht="32.25" customHeight="1">
      <c r="A33" s="95"/>
      <c r="B33" s="180" t="s">
        <v>250</v>
      </c>
      <c r="C33" s="192" t="s">
        <v>257</v>
      </c>
      <c r="D33" s="140"/>
      <c r="E33" s="182">
        <f>E34</f>
        <v>6127788</v>
      </c>
    </row>
    <row r="34" spans="1:10" s="98" customFormat="1" ht="17.25" customHeight="1">
      <c r="A34" s="95"/>
      <c r="B34" s="165">
        <v>6050</v>
      </c>
      <c r="C34" s="121" t="s">
        <v>203</v>
      </c>
      <c r="D34" s="146"/>
      <c r="E34" s="146">
        <v>6127788</v>
      </c>
    </row>
    <row r="35" spans="1:10" s="98" customFormat="1" ht="17.25" customHeight="1">
      <c r="A35" s="95"/>
      <c r="B35" s="180" t="s">
        <v>250</v>
      </c>
      <c r="C35" s="193" t="s">
        <v>258</v>
      </c>
      <c r="D35" s="140"/>
      <c r="E35" s="182">
        <f>E36</f>
        <v>1200000</v>
      </c>
    </row>
    <row r="36" spans="1:10" s="98" customFormat="1" ht="17.25" customHeight="1">
      <c r="A36" s="95"/>
      <c r="B36" s="165">
        <v>6050</v>
      </c>
      <c r="C36" s="121" t="s">
        <v>203</v>
      </c>
      <c r="D36" s="146"/>
      <c r="E36" s="146">
        <v>1200000</v>
      </c>
    </row>
    <row r="37" spans="1:10" s="98" customFormat="1" ht="17.25" customHeight="1">
      <c r="A37" s="95"/>
      <c r="B37" s="180" t="s">
        <v>250</v>
      </c>
      <c r="C37" s="215" t="s">
        <v>284</v>
      </c>
      <c r="D37" s="140"/>
      <c r="E37" s="182">
        <f>E38</f>
        <v>500000</v>
      </c>
    </row>
    <row r="38" spans="1:10" s="98" customFormat="1" ht="17.25" customHeight="1">
      <c r="A38" s="95"/>
      <c r="B38" s="165">
        <v>6050</v>
      </c>
      <c r="C38" s="121" t="s">
        <v>203</v>
      </c>
      <c r="D38" s="146"/>
      <c r="E38" s="146">
        <v>500000</v>
      </c>
    </row>
    <row r="39" spans="1:10" s="98" customFormat="1" ht="36" customHeight="1">
      <c r="A39" s="95"/>
      <c r="B39" s="180" t="s">
        <v>250</v>
      </c>
      <c r="C39" s="215" t="s">
        <v>286</v>
      </c>
      <c r="D39" s="140"/>
      <c r="E39" s="182">
        <f>E40</f>
        <v>7500000</v>
      </c>
    </row>
    <row r="40" spans="1:10" s="98" customFormat="1" ht="17.25" customHeight="1">
      <c r="A40" s="95"/>
      <c r="B40" s="165">
        <v>6050</v>
      </c>
      <c r="C40" s="121" t="s">
        <v>203</v>
      </c>
      <c r="D40" s="146"/>
      <c r="E40" s="146">
        <v>7500000</v>
      </c>
    </row>
    <row r="41" spans="1:10" s="13" customFormat="1" ht="50.25" customHeight="1">
      <c r="A41" s="882">
        <v>4</v>
      </c>
      <c r="B41" s="164"/>
      <c r="C41" s="10" t="s">
        <v>1162</v>
      </c>
      <c r="D41" s="11">
        <f>D42</f>
        <v>12825000</v>
      </c>
      <c r="E41" s="11">
        <f>E44</f>
        <v>12825000</v>
      </c>
    </row>
    <row r="42" spans="1:10" s="98" customFormat="1" ht="18.75" customHeight="1">
      <c r="A42" s="133"/>
      <c r="B42" s="93" t="s">
        <v>250</v>
      </c>
      <c r="C42" s="876" t="s">
        <v>1163</v>
      </c>
      <c r="D42" s="96">
        <f>D43</f>
        <v>12825000</v>
      </c>
      <c r="E42" s="97"/>
    </row>
    <row r="43" spans="1:10" s="881" customFormat="1" ht="31.5" customHeight="1">
      <c r="A43" s="883"/>
      <c r="B43" s="877">
        <v>6370</v>
      </c>
      <c r="C43" s="878" t="s">
        <v>1160</v>
      </c>
      <c r="D43" s="879">
        <v>12825000</v>
      </c>
      <c r="E43" s="880"/>
    </row>
    <row r="44" spans="1:10" s="98" customFormat="1" ht="48.75" customHeight="1">
      <c r="A44" s="97"/>
      <c r="B44" s="180" t="s">
        <v>250</v>
      </c>
      <c r="C44" s="215" t="s">
        <v>285</v>
      </c>
      <c r="D44" s="140"/>
      <c r="E44" s="182">
        <f>E45</f>
        <v>12825000</v>
      </c>
    </row>
    <row r="45" spans="1:10" s="98" customFormat="1" ht="33.75" customHeight="1">
      <c r="A45" s="95"/>
      <c r="B45" s="165">
        <v>6370</v>
      </c>
      <c r="C45" s="121" t="s">
        <v>1164</v>
      </c>
      <c r="D45" s="146"/>
      <c r="E45" s="146">
        <v>12825000</v>
      </c>
    </row>
    <row r="46" spans="1:10" s="13" customFormat="1" ht="32.25" customHeight="1">
      <c r="A46" s="8">
        <v>5</v>
      </c>
      <c r="B46" s="164"/>
      <c r="C46" s="14" t="s">
        <v>219</v>
      </c>
      <c r="D46" s="11">
        <f>D47</f>
        <v>700000</v>
      </c>
      <c r="E46" s="11">
        <f>E49+E54+E56+E58+E60+E65+E68+E70</f>
        <v>2705000</v>
      </c>
    </row>
    <row r="47" spans="1:10" s="126" customFormat="1" ht="17.25" customHeight="1">
      <c r="A47" s="95"/>
      <c r="B47" s="122">
        <v>75618</v>
      </c>
      <c r="C47" s="123" t="s">
        <v>220</v>
      </c>
      <c r="D47" s="96">
        <f>D48</f>
        <v>700000</v>
      </c>
      <c r="E47" s="124"/>
      <c r="F47" s="125"/>
      <c r="G47" s="125"/>
      <c r="H47" s="125"/>
      <c r="I47" s="125"/>
      <c r="J47" s="125"/>
    </row>
    <row r="48" spans="1:10" s="131" customFormat="1" ht="17.25" customHeight="1">
      <c r="A48" s="155"/>
      <c r="B48" s="103" t="s">
        <v>162</v>
      </c>
      <c r="C48" s="884" t="s">
        <v>163</v>
      </c>
      <c r="D48" s="105">
        <v>700000</v>
      </c>
      <c r="E48" s="885"/>
      <c r="F48" s="130"/>
      <c r="G48" s="130"/>
      <c r="H48" s="130"/>
      <c r="I48" s="130"/>
      <c r="J48" s="130"/>
    </row>
    <row r="49" spans="1:10" s="126" customFormat="1" ht="17.25" customHeight="1">
      <c r="A49" s="95"/>
      <c r="B49" s="102">
        <v>85153</v>
      </c>
      <c r="C49" s="886" t="s">
        <v>221</v>
      </c>
      <c r="D49" s="137"/>
      <c r="E49" s="137">
        <f>SUM(E50:E53)</f>
        <v>130000</v>
      </c>
      <c r="F49" s="125"/>
      <c r="G49" s="125"/>
      <c r="H49" s="125"/>
      <c r="I49" s="125"/>
      <c r="J49" s="125"/>
    </row>
    <row r="50" spans="1:10" s="115" customFormat="1" ht="17.25" customHeight="1">
      <c r="A50" s="111"/>
      <c r="B50" s="112">
        <v>4170</v>
      </c>
      <c r="C50" s="113" t="s">
        <v>192</v>
      </c>
      <c r="D50" s="101"/>
      <c r="E50" s="101">
        <v>14000</v>
      </c>
      <c r="F50" s="114"/>
      <c r="G50" s="114"/>
      <c r="H50" s="114"/>
      <c r="I50" s="114"/>
      <c r="J50" s="114"/>
    </row>
    <row r="51" spans="1:10" s="115" customFormat="1" ht="17.25" customHeight="1">
      <c r="A51" s="111"/>
      <c r="B51" s="112">
        <v>4190</v>
      </c>
      <c r="C51" s="113" t="s">
        <v>193</v>
      </c>
      <c r="D51" s="101"/>
      <c r="E51" s="101">
        <v>11000</v>
      </c>
      <c r="F51" s="114"/>
      <c r="G51" s="114"/>
      <c r="H51" s="114"/>
      <c r="I51" s="114"/>
      <c r="J51" s="114"/>
    </row>
    <row r="52" spans="1:10" s="115" customFormat="1" ht="17.25" customHeight="1">
      <c r="A52" s="111"/>
      <c r="B52" s="112">
        <v>4210</v>
      </c>
      <c r="C52" s="113" t="s">
        <v>194</v>
      </c>
      <c r="D52" s="101"/>
      <c r="E52" s="101">
        <v>3000</v>
      </c>
      <c r="F52" s="114"/>
      <c r="G52" s="114"/>
      <c r="H52" s="114"/>
      <c r="I52" s="114"/>
      <c r="J52" s="114"/>
    </row>
    <row r="53" spans="1:10" s="115" customFormat="1" ht="17.25" customHeight="1">
      <c r="A53" s="111"/>
      <c r="B53" s="116">
        <v>4300</v>
      </c>
      <c r="C53" s="117" t="s">
        <v>197</v>
      </c>
      <c r="D53" s="105"/>
      <c r="E53" s="105">
        <v>102000</v>
      </c>
      <c r="F53" s="114"/>
      <c r="G53" s="114"/>
      <c r="H53" s="114"/>
      <c r="I53" s="114"/>
      <c r="J53" s="114"/>
    </row>
    <row r="54" spans="1:10" s="126" customFormat="1" ht="17.25" customHeight="1">
      <c r="A54" s="95"/>
      <c r="B54" s="97">
        <v>85153</v>
      </c>
      <c r="C54" s="123" t="s">
        <v>222</v>
      </c>
      <c r="D54" s="96"/>
      <c r="E54" s="96">
        <f>E55</f>
        <v>350000</v>
      </c>
      <c r="F54" s="125"/>
      <c r="G54" s="125"/>
      <c r="H54" s="125"/>
      <c r="I54" s="125"/>
      <c r="J54" s="125"/>
    </row>
    <row r="55" spans="1:10" s="131" customFormat="1" ht="48" customHeight="1">
      <c r="A55" s="111"/>
      <c r="B55" s="132">
        <v>2360</v>
      </c>
      <c r="C55" s="128" t="s">
        <v>223</v>
      </c>
      <c r="D55" s="129"/>
      <c r="E55" s="129">
        <v>350000</v>
      </c>
      <c r="F55" s="130"/>
      <c r="G55" s="130"/>
      <c r="H55" s="130"/>
      <c r="I55" s="130"/>
      <c r="J55" s="130"/>
    </row>
    <row r="56" spans="1:10" s="126" customFormat="1" ht="33" customHeight="1">
      <c r="A56" s="133"/>
      <c r="B56" s="97">
        <v>85154</v>
      </c>
      <c r="C56" s="258" t="s">
        <v>299</v>
      </c>
      <c r="D56" s="96"/>
      <c r="E56" s="96">
        <f>E57</f>
        <v>70000</v>
      </c>
      <c r="F56" s="125"/>
      <c r="G56" s="125"/>
      <c r="H56" s="125"/>
      <c r="I56" s="125"/>
      <c r="J56" s="125"/>
    </row>
    <row r="57" spans="1:10" s="126" customFormat="1" ht="45" customHeight="1">
      <c r="A57" s="133"/>
      <c r="B57" s="132">
        <v>2360</v>
      </c>
      <c r="C57" s="128" t="s">
        <v>223</v>
      </c>
      <c r="D57" s="134"/>
      <c r="E57" s="129">
        <v>70000</v>
      </c>
      <c r="F57" s="125"/>
      <c r="G57" s="125"/>
      <c r="H57" s="125"/>
      <c r="I57" s="125"/>
      <c r="J57" s="125"/>
    </row>
    <row r="58" spans="1:10" s="126" customFormat="1" ht="20.25" customHeight="1">
      <c r="A58" s="95"/>
      <c r="B58" s="97">
        <v>85154</v>
      </c>
      <c r="C58" s="123" t="s">
        <v>224</v>
      </c>
      <c r="D58" s="96"/>
      <c r="E58" s="96">
        <f>E59</f>
        <v>260000</v>
      </c>
      <c r="F58" s="125"/>
      <c r="G58" s="125"/>
      <c r="H58" s="125"/>
      <c r="I58" s="125"/>
      <c r="J58" s="125"/>
    </row>
    <row r="59" spans="1:10" s="126" customFormat="1" ht="47.25" customHeight="1">
      <c r="A59" s="133"/>
      <c r="B59" s="132">
        <v>2360</v>
      </c>
      <c r="C59" s="128" t="s">
        <v>223</v>
      </c>
      <c r="D59" s="134"/>
      <c r="E59" s="129">
        <v>260000</v>
      </c>
      <c r="F59" s="125"/>
      <c r="G59" s="125"/>
      <c r="H59" s="125"/>
      <c r="I59" s="125"/>
      <c r="J59" s="125"/>
    </row>
    <row r="60" spans="1:10" s="126" customFormat="1" ht="16.5" customHeight="1">
      <c r="A60" s="133"/>
      <c r="B60" s="97">
        <v>85154</v>
      </c>
      <c r="C60" s="123" t="s">
        <v>211</v>
      </c>
      <c r="D60" s="96"/>
      <c r="E60" s="96">
        <f>SUM(E61:E64)</f>
        <v>155000</v>
      </c>
      <c r="F60" s="125"/>
      <c r="G60" s="125"/>
      <c r="H60" s="125"/>
      <c r="I60" s="125"/>
      <c r="J60" s="125"/>
    </row>
    <row r="61" spans="1:10" s="126" customFormat="1" ht="28.5" customHeight="1">
      <c r="A61" s="133"/>
      <c r="B61" s="112">
        <v>2800</v>
      </c>
      <c r="C61" s="136" t="s">
        <v>202</v>
      </c>
      <c r="D61" s="137"/>
      <c r="E61" s="101">
        <v>30000</v>
      </c>
      <c r="F61" s="125"/>
      <c r="G61" s="125"/>
      <c r="H61" s="125"/>
      <c r="I61" s="125"/>
      <c r="J61" s="125"/>
    </row>
    <row r="62" spans="1:10" s="126" customFormat="1" ht="15" customHeight="1">
      <c r="A62" s="133"/>
      <c r="B62" s="112">
        <v>4170</v>
      </c>
      <c r="C62" s="136" t="s">
        <v>192</v>
      </c>
      <c r="D62" s="137"/>
      <c r="E62" s="101">
        <v>3000</v>
      </c>
      <c r="F62" s="125"/>
      <c r="G62" s="125"/>
      <c r="H62" s="125"/>
      <c r="I62" s="125"/>
      <c r="J62" s="125"/>
    </row>
    <row r="63" spans="1:10" s="126" customFormat="1" ht="15" customHeight="1">
      <c r="A63" s="133"/>
      <c r="B63" s="112">
        <v>4210</v>
      </c>
      <c r="C63" s="136" t="s">
        <v>194</v>
      </c>
      <c r="D63" s="137"/>
      <c r="E63" s="101">
        <v>4000</v>
      </c>
      <c r="F63" s="125"/>
      <c r="G63" s="125"/>
      <c r="H63" s="125"/>
      <c r="I63" s="125"/>
      <c r="J63" s="125"/>
    </row>
    <row r="64" spans="1:10" s="126" customFormat="1" ht="15" customHeight="1">
      <c r="A64" s="133"/>
      <c r="B64" s="132">
        <v>4300</v>
      </c>
      <c r="C64" s="128" t="s">
        <v>197</v>
      </c>
      <c r="D64" s="134"/>
      <c r="E64" s="129">
        <v>118000</v>
      </c>
      <c r="F64" s="125"/>
      <c r="G64" s="125"/>
      <c r="H64" s="125"/>
      <c r="I64" s="125"/>
      <c r="J64" s="125"/>
    </row>
    <row r="65" spans="1:10" s="126" customFormat="1" ht="16.5" customHeight="1">
      <c r="A65" s="95"/>
      <c r="B65" s="97">
        <v>85154</v>
      </c>
      <c r="C65" s="194" t="s">
        <v>259</v>
      </c>
      <c r="D65" s="96"/>
      <c r="E65" s="96">
        <f>SUM(E66:E67)</f>
        <v>1405000</v>
      </c>
      <c r="F65" s="125"/>
      <c r="G65" s="125"/>
      <c r="H65" s="125"/>
      <c r="I65" s="125"/>
      <c r="J65" s="125"/>
    </row>
    <row r="66" spans="1:10" s="131" customFormat="1" ht="33.75" customHeight="1">
      <c r="A66" s="111"/>
      <c r="B66" s="112">
        <v>2800</v>
      </c>
      <c r="C66" s="136" t="s">
        <v>202</v>
      </c>
      <c r="D66" s="101"/>
      <c r="E66" s="101">
        <v>1260000</v>
      </c>
      <c r="F66" s="130"/>
      <c r="G66" s="130"/>
      <c r="H66" s="130"/>
      <c r="I66" s="130"/>
      <c r="J66" s="130"/>
    </row>
    <row r="67" spans="1:10" s="126" customFormat="1" ht="33.75" customHeight="1">
      <c r="A67" s="95"/>
      <c r="B67" s="112">
        <v>6220</v>
      </c>
      <c r="C67" s="136" t="s">
        <v>260</v>
      </c>
      <c r="D67" s="137"/>
      <c r="E67" s="101">
        <v>145000</v>
      </c>
      <c r="F67" s="125"/>
      <c r="G67" s="125"/>
      <c r="H67" s="125"/>
      <c r="I67" s="125"/>
      <c r="J67" s="125"/>
    </row>
    <row r="68" spans="1:10" s="126" customFormat="1" ht="16.5" customHeight="1">
      <c r="A68" s="133"/>
      <c r="B68" s="97">
        <v>85154</v>
      </c>
      <c r="C68" s="216" t="s">
        <v>287</v>
      </c>
      <c r="D68" s="96"/>
      <c r="E68" s="96">
        <f>E69</f>
        <v>135000</v>
      </c>
      <c r="F68" s="125"/>
      <c r="G68" s="125"/>
      <c r="H68" s="125"/>
      <c r="I68" s="125"/>
      <c r="J68" s="125"/>
    </row>
    <row r="69" spans="1:10" s="131" customFormat="1" ht="33.75" customHeight="1">
      <c r="A69" s="111"/>
      <c r="B69" s="132">
        <v>2800</v>
      </c>
      <c r="C69" s="128" t="s">
        <v>202</v>
      </c>
      <c r="D69" s="129"/>
      <c r="E69" s="129">
        <v>135000</v>
      </c>
      <c r="F69" s="130"/>
      <c r="G69" s="130"/>
      <c r="H69" s="130"/>
      <c r="I69" s="130"/>
      <c r="J69" s="130"/>
    </row>
    <row r="70" spans="1:10" s="126" customFormat="1" ht="16.5" customHeight="1">
      <c r="A70" s="133"/>
      <c r="B70" s="97">
        <v>85154</v>
      </c>
      <c r="C70" s="216" t="s">
        <v>288</v>
      </c>
      <c r="D70" s="96"/>
      <c r="E70" s="96">
        <f>E71</f>
        <v>200000</v>
      </c>
      <c r="F70" s="125"/>
      <c r="G70" s="125"/>
      <c r="H70" s="125"/>
      <c r="I70" s="125"/>
      <c r="J70" s="125"/>
    </row>
    <row r="71" spans="1:10" s="126" customFormat="1" ht="33.75" customHeight="1">
      <c r="A71" s="95"/>
      <c r="B71" s="112">
        <v>6220</v>
      </c>
      <c r="C71" s="136" t="s">
        <v>260</v>
      </c>
      <c r="D71" s="137"/>
      <c r="E71" s="101">
        <v>200000</v>
      </c>
      <c r="F71" s="125"/>
      <c r="G71" s="125"/>
      <c r="H71" s="125"/>
      <c r="I71" s="125"/>
      <c r="J71" s="125"/>
    </row>
    <row r="72" spans="1:10" s="13" customFormat="1" ht="29.25" customHeight="1">
      <c r="A72" s="8">
        <v>6</v>
      </c>
      <c r="B72" s="15"/>
      <c r="C72" s="10" t="s">
        <v>225</v>
      </c>
      <c r="D72" s="16">
        <f>D73</f>
        <v>440550</v>
      </c>
      <c r="E72" s="16">
        <f t="shared" ref="E72" si="0">SUM(E73:E75)</f>
        <v>440550</v>
      </c>
      <c r="F72" s="12"/>
      <c r="G72" s="12"/>
      <c r="H72" s="12"/>
      <c r="I72" s="12"/>
      <c r="J72" s="12"/>
    </row>
    <row r="73" spans="1:10" s="126" customFormat="1" ht="17.25" customHeight="1">
      <c r="A73" s="95"/>
      <c r="B73" s="138">
        <v>85324</v>
      </c>
      <c r="C73" s="139" t="s">
        <v>226</v>
      </c>
      <c r="D73" s="140">
        <f>D74</f>
        <v>440550</v>
      </c>
      <c r="E73" s="140"/>
      <c r="F73" s="125"/>
      <c r="G73" s="125"/>
      <c r="H73" s="125"/>
      <c r="I73" s="125"/>
      <c r="J73" s="125"/>
    </row>
    <row r="74" spans="1:10" s="126" customFormat="1" ht="17.25" customHeight="1">
      <c r="A74" s="95"/>
      <c r="B74" s="127" t="s">
        <v>4</v>
      </c>
      <c r="C74" s="141" t="s">
        <v>5</v>
      </c>
      <c r="D74" s="129">
        <v>440550</v>
      </c>
      <c r="E74" s="134"/>
      <c r="F74" s="125"/>
      <c r="G74" s="125"/>
      <c r="H74" s="125"/>
      <c r="I74" s="125"/>
      <c r="J74" s="125"/>
    </row>
    <row r="75" spans="1:10" s="126" customFormat="1" ht="17.25" customHeight="1">
      <c r="A75" s="95"/>
      <c r="B75" s="133">
        <v>85324</v>
      </c>
      <c r="C75" s="142" t="s">
        <v>227</v>
      </c>
      <c r="D75" s="143"/>
      <c r="E75" s="143">
        <f>SUM(E76:E85)</f>
        <v>440550</v>
      </c>
      <c r="F75" s="125"/>
      <c r="G75" s="125"/>
      <c r="H75" s="125"/>
      <c r="I75" s="125"/>
      <c r="J75" s="125"/>
    </row>
    <row r="76" spans="1:10" s="126" customFormat="1" ht="17.25" customHeight="1">
      <c r="A76" s="95"/>
      <c r="B76" s="112">
        <v>4010</v>
      </c>
      <c r="C76" s="144" t="s">
        <v>188</v>
      </c>
      <c r="D76" s="137"/>
      <c r="E76" s="101">
        <v>277123</v>
      </c>
      <c r="F76" s="125"/>
      <c r="G76" s="125"/>
      <c r="H76" s="125"/>
      <c r="I76" s="125"/>
      <c r="J76" s="125"/>
    </row>
    <row r="77" spans="1:10" s="126" customFormat="1" ht="17.25" customHeight="1">
      <c r="A77" s="95"/>
      <c r="B77" s="112">
        <v>4040</v>
      </c>
      <c r="C77" s="144" t="s">
        <v>189</v>
      </c>
      <c r="D77" s="137"/>
      <c r="E77" s="101">
        <v>45000</v>
      </c>
      <c r="F77" s="125"/>
      <c r="G77" s="125"/>
      <c r="H77" s="125"/>
      <c r="I77" s="125"/>
      <c r="J77" s="125"/>
    </row>
    <row r="78" spans="1:10" s="126" customFormat="1" ht="17.25" customHeight="1">
      <c r="A78" s="95"/>
      <c r="B78" s="112">
        <v>4110</v>
      </c>
      <c r="C78" s="144" t="s">
        <v>190</v>
      </c>
      <c r="D78" s="137"/>
      <c r="E78" s="101">
        <v>47637</v>
      </c>
      <c r="F78" s="125"/>
      <c r="G78" s="125"/>
      <c r="H78" s="125"/>
      <c r="I78" s="125"/>
      <c r="J78" s="125"/>
    </row>
    <row r="79" spans="1:10" s="126" customFormat="1" ht="17.25" customHeight="1">
      <c r="A79" s="95"/>
      <c r="B79" s="112">
        <v>4120</v>
      </c>
      <c r="C79" s="113" t="s">
        <v>191</v>
      </c>
      <c r="D79" s="137"/>
      <c r="E79" s="101">
        <v>6790</v>
      </c>
      <c r="F79" s="125"/>
      <c r="G79" s="125"/>
      <c r="H79" s="125"/>
      <c r="I79" s="125"/>
      <c r="J79" s="125"/>
    </row>
    <row r="80" spans="1:10" s="126" customFormat="1" ht="17.25" customHeight="1">
      <c r="A80" s="95"/>
      <c r="B80" s="112">
        <v>4210</v>
      </c>
      <c r="C80" s="144" t="s">
        <v>194</v>
      </c>
      <c r="D80" s="137"/>
      <c r="E80" s="101">
        <v>50000</v>
      </c>
      <c r="F80" s="125"/>
      <c r="G80" s="125"/>
      <c r="H80" s="125"/>
      <c r="I80" s="125"/>
      <c r="J80" s="125"/>
    </row>
    <row r="81" spans="1:10" s="126" customFormat="1" ht="17.25" customHeight="1">
      <c r="A81" s="95"/>
      <c r="B81" s="112">
        <v>4220</v>
      </c>
      <c r="C81" s="144" t="s">
        <v>195</v>
      </c>
      <c r="D81" s="137"/>
      <c r="E81" s="101">
        <v>2000</v>
      </c>
      <c r="F81" s="125"/>
      <c r="G81" s="125"/>
      <c r="H81" s="125"/>
      <c r="I81" s="125"/>
      <c r="J81" s="125"/>
    </row>
    <row r="82" spans="1:10" s="126" customFormat="1" ht="17.25" customHeight="1">
      <c r="A82" s="95"/>
      <c r="B82" s="112">
        <v>4270</v>
      </c>
      <c r="C82" s="144" t="s">
        <v>196</v>
      </c>
      <c r="D82" s="137"/>
      <c r="E82" s="101">
        <v>2000</v>
      </c>
      <c r="F82" s="125"/>
      <c r="G82" s="125"/>
      <c r="H82" s="125"/>
      <c r="I82" s="125"/>
      <c r="J82" s="125"/>
    </row>
    <row r="83" spans="1:10" s="126" customFormat="1" ht="17.25" customHeight="1">
      <c r="A83" s="135"/>
      <c r="B83" s="132">
        <v>4300</v>
      </c>
      <c r="C83" s="141" t="s">
        <v>197</v>
      </c>
      <c r="D83" s="134"/>
      <c r="E83" s="129">
        <v>2000</v>
      </c>
      <c r="F83" s="125"/>
      <c r="G83" s="125"/>
      <c r="H83" s="125"/>
      <c r="I83" s="125"/>
      <c r="J83" s="125"/>
    </row>
    <row r="84" spans="1:10" s="126" customFormat="1" ht="17.25" customHeight="1">
      <c r="A84" s="218"/>
      <c r="B84" s="210">
        <v>4410</v>
      </c>
      <c r="C84" s="887" t="s">
        <v>198</v>
      </c>
      <c r="D84" s="140"/>
      <c r="E84" s="211">
        <v>3000</v>
      </c>
      <c r="F84" s="125"/>
      <c r="G84" s="125"/>
      <c r="H84" s="125"/>
      <c r="I84" s="125"/>
      <c r="J84" s="125"/>
    </row>
    <row r="85" spans="1:10" s="126" customFormat="1" ht="17.25" customHeight="1">
      <c r="A85" s="95"/>
      <c r="B85" s="132">
        <v>4700</v>
      </c>
      <c r="C85" s="145" t="s">
        <v>218</v>
      </c>
      <c r="D85" s="134"/>
      <c r="E85" s="888">
        <v>5000</v>
      </c>
      <c r="F85" s="125"/>
      <c r="G85" s="125"/>
      <c r="H85" s="125"/>
      <c r="I85" s="125"/>
      <c r="J85" s="125"/>
    </row>
    <row r="86" spans="1:10" s="12" customFormat="1" ht="15.75" customHeight="1">
      <c r="A86" s="896">
        <v>7</v>
      </c>
      <c r="B86" s="15"/>
      <c r="C86" s="17" t="s">
        <v>228</v>
      </c>
      <c r="D86" s="16">
        <f>D87</f>
        <v>910000</v>
      </c>
      <c r="E86" s="16">
        <f>E89</f>
        <v>910000</v>
      </c>
    </row>
    <row r="87" spans="1:10" s="126" customFormat="1" ht="16.5" customHeight="1">
      <c r="A87" s="95"/>
      <c r="B87" s="138">
        <v>90019</v>
      </c>
      <c r="C87" s="139" t="s">
        <v>229</v>
      </c>
      <c r="D87" s="140">
        <f>D88</f>
        <v>910000</v>
      </c>
      <c r="E87" s="140"/>
      <c r="F87" s="125"/>
      <c r="G87" s="125"/>
      <c r="H87" s="125"/>
      <c r="I87" s="125"/>
      <c r="J87" s="125"/>
    </row>
    <row r="88" spans="1:10" s="126" customFormat="1" ht="14.25" customHeight="1">
      <c r="A88" s="95"/>
      <c r="B88" s="127" t="s">
        <v>47</v>
      </c>
      <c r="C88" s="147" t="s">
        <v>48</v>
      </c>
      <c r="D88" s="129">
        <v>910000</v>
      </c>
      <c r="E88" s="134"/>
      <c r="F88" s="125"/>
      <c r="G88" s="125"/>
      <c r="H88" s="125"/>
      <c r="I88" s="125"/>
      <c r="J88" s="125"/>
    </row>
    <row r="89" spans="1:10" s="126" customFormat="1" ht="16.5" customHeight="1">
      <c r="A89" s="95"/>
      <c r="B89" s="148">
        <v>90019</v>
      </c>
      <c r="C89" s="142" t="s">
        <v>230</v>
      </c>
      <c r="D89" s="143"/>
      <c r="E89" s="143">
        <f>SUM(E90:E98)</f>
        <v>910000</v>
      </c>
      <c r="F89" s="125"/>
      <c r="G89" s="125"/>
      <c r="H89" s="125"/>
      <c r="I89" s="125"/>
      <c r="J89" s="125"/>
    </row>
    <row r="90" spans="1:10" s="126" customFormat="1" ht="16.5" customHeight="1">
      <c r="A90" s="95"/>
      <c r="B90" s="112">
        <v>4010</v>
      </c>
      <c r="C90" s="144" t="s">
        <v>188</v>
      </c>
      <c r="D90" s="137"/>
      <c r="E90" s="101">
        <v>628972</v>
      </c>
      <c r="F90" s="125"/>
      <c r="G90" s="125"/>
      <c r="H90" s="125"/>
      <c r="I90" s="125"/>
      <c r="J90" s="125"/>
    </row>
    <row r="91" spans="1:10" s="126" customFormat="1" ht="16.5" customHeight="1">
      <c r="A91" s="95"/>
      <c r="B91" s="112">
        <v>4040</v>
      </c>
      <c r="C91" s="144" t="s">
        <v>189</v>
      </c>
      <c r="D91" s="137"/>
      <c r="E91" s="101">
        <v>70000</v>
      </c>
      <c r="F91" s="125"/>
      <c r="G91" s="125"/>
      <c r="H91" s="125"/>
      <c r="I91" s="125"/>
      <c r="J91" s="125"/>
    </row>
    <row r="92" spans="1:10" s="126" customFormat="1" ht="16.5" customHeight="1">
      <c r="A92" s="95"/>
      <c r="B92" s="116">
        <v>4110</v>
      </c>
      <c r="C92" s="162" t="s">
        <v>190</v>
      </c>
      <c r="D92" s="149"/>
      <c r="E92" s="105">
        <v>120153</v>
      </c>
      <c r="F92" s="125"/>
      <c r="G92" s="125"/>
      <c r="H92" s="125"/>
      <c r="I92" s="125"/>
      <c r="J92" s="125"/>
    </row>
    <row r="93" spans="1:10" s="126" customFormat="1" ht="16.5" customHeight="1">
      <c r="A93" s="133"/>
      <c r="B93" s="112">
        <v>4120</v>
      </c>
      <c r="C93" s="113" t="s">
        <v>191</v>
      </c>
      <c r="D93" s="137"/>
      <c r="E93" s="101">
        <v>17125</v>
      </c>
      <c r="F93" s="125"/>
      <c r="G93" s="125"/>
      <c r="H93" s="125"/>
      <c r="I93" s="125"/>
      <c r="J93" s="125"/>
    </row>
    <row r="94" spans="1:10" s="126" customFormat="1" ht="16.5" customHeight="1">
      <c r="A94" s="95"/>
      <c r="B94" s="116">
        <v>4210</v>
      </c>
      <c r="C94" s="144" t="s">
        <v>194</v>
      </c>
      <c r="D94" s="149"/>
      <c r="E94" s="105">
        <v>40000</v>
      </c>
      <c r="F94" s="125"/>
      <c r="G94" s="125"/>
      <c r="H94" s="125"/>
      <c r="I94" s="125"/>
      <c r="J94" s="125"/>
    </row>
    <row r="95" spans="1:10" s="126" customFormat="1" ht="16.5" customHeight="1">
      <c r="A95" s="95"/>
      <c r="B95" s="112">
        <v>4300</v>
      </c>
      <c r="C95" s="144" t="s">
        <v>197</v>
      </c>
      <c r="D95" s="137"/>
      <c r="E95" s="101">
        <v>20000</v>
      </c>
      <c r="F95" s="125"/>
      <c r="G95" s="125"/>
      <c r="H95" s="125"/>
      <c r="I95" s="125"/>
      <c r="J95" s="125"/>
    </row>
    <row r="96" spans="1:10" s="126" customFormat="1" ht="16.5" customHeight="1">
      <c r="A96" s="95"/>
      <c r="B96" s="112">
        <v>4410</v>
      </c>
      <c r="C96" s="144" t="s">
        <v>198</v>
      </c>
      <c r="D96" s="137"/>
      <c r="E96" s="101">
        <v>400</v>
      </c>
      <c r="F96" s="125"/>
      <c r="G96" s="125"/>
      <c r="H96" s="125"/>
      <c r="I96" s="125"/>
      <c r="J96" s="125"/>
    </row>
    <row r="97" spans="1:10" s="126" customFormat="1" ht="16.5" customHeight="1">
      <c r="A97" s="95"/>
      <c r="B97" s="116">
        <v>4700</v>
      </c>
      <c r="C97" s="117" t="s">
        <v>218</v>
      </c>
      <c r="D97" s="149"/>
      <c r="E97" s="105">
        <v>6000</v>
      </c>
      <c r="F97" s="125"/>
      <c r="G97" s="125"/>
      <c r="H97" s="125"/>
      <c r="I97" s="125"/>
      <c r="J97" s="125"/>
    </row>
    <row r="98" spans="1:10" s="126" customFormat="1" ht="16.5" customHeight="1">
      <c r="A98" s="150"/>
      <c r="B98" s="132">
        <v>4710</v>
      </c>
      <c r="C98" s="145" t="s">
        <v>204</v>
      </c>
      <c r="D98" s="134"/>
      <c r="E98" s="129">
        <v>7350</v>
      </c>
      <c r="F98" s="125"/>
      <c r="G98" s="125"/>
      <c r="H98" s="125"/>
      <c r="I98" s="125"/>
      <c r="J98" s="125"/>
    </row>
    <row r="99" spans="1:10" s="13" customFormat="1" ht="17.25" customHeight="1">
      <c r="A99" s="8">
        <v>8</v>
      </c>
      <c r="B99" s="875"/>
      <c r="C99" s="18" t="s">
        <v>231</v>
      </c>
      <c r="D99" s="19">
        <f>D100+D110</f>
        <v>145250</v>
      </c>
      <c r="E99" s="19">
        <f>E102+E112</f>
        <v>145250</v>
      </c>
      <c r="F99" s="12"/>
      <c r="G99" s="12"/>
      <c r="H99" s="12"/>
      <c r="I99" s="12"/>
      <c r="J99" s="12"/>
    </row>
    <row r="100" spans="1:10" s="126" customFormat="1" ht="29.25" customHeight="1">
      <c r="A100" s="95"/>
      <c r="B100" s="138">
        <v>90020</v>
      </c>
      <c r="C100" s="214" t="s">
        <v>266</v>
      </c>
      <c r="D100" s="140">
        <f>D101</f>
        <v>45000</v>
      </c>
      <c r="E100" s="140"/>
      <c r="F100" s="125"/>
      <c r="G100" s="125"/>
      <c r="H100" s="125"/>
      <c r="I100" s="125"/>
      <c r="J100" s="125"/>
    </row>
    <row r="101" spans="1:10" s="126" customFormat="1" ht="15" customHeight="1">
      <c r="A101" s="95"/>
      <c r="B101" s="127" t="s">
        <v>183</v>
      </c>
      <c r="C101" s="128" t="s">
        <v>184</v>
      </c>
      <c r="D101" s="129">
        <v>45000</v>
      </c>
      <c r="E101" s="134"/>
      <c r="F101" s="125"/>
      <c r="G101" s="125"/>
      <c r="H101" s="125"/>
      <c r="I101" s="125"/>
      <c r="J101" s="125"/>
    </row>
    <row r="102" spans="1:10" s="126" customFormat="1" ht="29.25" customHeight="1">
      <c r="A102" s="95"/>
      <c r="B102" s="148">
        <v>90020</v>
      </c>
      <c r="C102" s="152" t="s">
        <v>232</v>
      </c>
      <c r="D102" s="143"/>
      <c r="E102" s="143">
        <f>SUM(E103:E109)</f>
        <v>45000</v>
      </c>
      <c r="F102" s="125"/>
      <c r="G102" s="125"/>
      <c r="H102" s="125"/>
      <c r="I102" s="125"/>
      <c r="J102" s="125"/>
    </row>
    <row r="103" spans="1:10" s="154" customFormat="1" ht="16.5" customHeight="1">
      <c r="A103" s="95"/>
      <c r="B103" s="112">
        <v>4010</v>
      </c>
      <c r="C103" s="144" t="s">
        <v>188</v>
      </c>
      <c r="D103" s="137"/>
      <c r="E103" s="101">
        <v>26433</v>
      </c>
      <c r="F103" s="153"/>
      <c r="G103" s="153"/>
      <c r="H103" s="153"/>
      <c r="I103" s="153"/>
      <c r="J103" s="153"/>
    </row>
    <row r="104" spans="1:10" s="126" customFormat="1" ht="16.5" customHeight="1">
      <c r="A104" s="95"/>
      <c r="B104" s="112">
        <v>4040</v>
      </c>
      <c r="C104" s="144" t="s">
        <v>189</v>
      </c>
      <c r="D104" s="137"/>
      <c r="E104" s="101">
        <v>7000</v>
      </c>
      <c r="F104" s="125"/>
      <c r="G104" s="125"/>
      <c r="H104" s="125"/>
      <c r="I104" s="125"/>
      <c r="J104" s="125"/>
    </row>
    <row r="105" spans="1:10" s="154" customFormat="1" ht="16.5" customHeight="1">
      <c r="A105" s="95"/>
      <c r="B105" s="116">
        <v>4110</v>
      </c>
      <c r="C105" s="162" t="s">
        <v>190</v>
      </c>
      <c r="D105" s="149"/>
      <c r="E105" s="105">
        <v>5747</v>
      </c>
      <c r="F105" s="153"/>
      <c r="G105" s="153"/>
      <c r="H105" s="153"/>
      <c r="I105" s="153"/>
      <c r="J105" s="153"/>
    </row>
    <row r="106" spans="1:10" s="154" customFormat="1" ht="16.5" customHeight="1">
      <c r="A106" s="133"/>
      <c r="B106" s="112">
        <v>4120</v>
      </c>
      <c r="C106" s="113" t="s">
        <v>191</v>
      </c>
      <c r="D106" s="137"/>
      <c r="E106" s="101">
        <v>820</v>
      </c>
      <c r="F106" s="153"/>
      <c r="G106" s="153"/>
      <c r="H106" s="153"/>
      <c r="I106" s="153"/>
      <c r="J106" s="153"/>
    </row>
    <row r="107" spans="1:10" s="154" customFormat="1" ht="16.5" customHeight="1">
      <c r="A107" s="133"/>
      <c r="B107" s="116">
        <v>4610</v>
      </c>
      <c r="C107" s="104" t="s">
        <v>199</v>
      </c>
      <c r="D107" s="149"/>
      <c r="E107" s="105">
        <v>300</v>
      </c>
      <c r="F107" s="153"/>
      <c r="G107" s="153"/>
      <c r="H107" s="153"/>
      <c r="I107" s="153"/>
      <c r="J107" s="153"/>
    </row>
    <row r="108" spans="1:10" s="126" customFormat="1" ht="16.5" customHeight="1">
      <c r="A108" s="95"/>
      <c r="B108" s="116">
        <v>4700</v>
      </c>
      <c r="C108" s="117" t="s">
        <v>218</v>
      </c>
      <c r="D108" s="149"/>
      <c r="E108" s="105">
        <v>4000</v>
      </c>
      <c r="F108" s="125"/>
      <c r="G108" s="125"/>
      <c r="H108" s="125"/>
      <c r="I108" s="125"/>
      <c r="J108" s="125"/>
    </row>
    <row r="109" spans="1:10" s="126" customFormat="1" ht="16.5" customHeight="1">
      <c r="A109" s="133"/>
      <c r="B109" s="132">
        <v>4710</v>
      </c>
      <c r="C109" s="145" t="s">
        <v>204</v>
      </c>
      <c r="D109" s="134"/>
      <c r="E109" s="129">
        <v>700</v>
      </c>
      <c r="F109" s="125"/>
      <c r="G109" s="125"/>
      <c r="H109" s="125"/>
      <c r="I109" s="125"/>
      <c r="J109" s="125"/>
    </row>
    <row r="110" spans="1:10" s="126" customFormat="1" ht="16.5" customHeight="1">
      <c r="A110" s="133"/>
      <c r="B110" s="138">
        <v>90026</v>
      </c>
      <c r="C110" s="183" t="s">
        <v>251</v>
      </c>
      <c r="D110" s="140">
        <f>D111</f>
        <v>100250</v>
      </c>
      <c r="E110" s="140"/>
      <c r="F110" s="125"/>
      <c r="G110" s="125"/>
      <c r="H110" s="125"/>
      <c r="I110" s="125"/>
      <c r="J110" s="125"/>
    </row>
    <row r="111" spans="1:10" s="126" customFormat="1" ht="16.5" customHeight="1">
      <c r="A111" s="95"/>
      <c r="B111" s="127" t="s">
        <v>186</v>
      </c>
      <c r="C111" s="128" t="s">
        <v>187</v>
      </c>
      <c r="D111" s="129">
        <v>100250</v>
      </c>
      <c r="E111" s="134"/>
      <c r="F111" s="125"/>
      <c r="G111" s="125"/>
      <c r="H111" s="125"/>
      <c r="I111" s="125"/>
      <c r="J111" s="125"/>
    </row>
    <row r="112" spans="1:10" s="126" customFormat="1" ht="16.5" customHeight="1">
      <c r="A112" s="95"/>
      <c r="B112" s="148">
        <v>90026</v>
      </c>
      <c r="C112" s="152" t="s">
        <v>233</v>
      </c>
      <c r="D112" s="143"/>
      <c r="E112" s="143">
        <f>SUM(E113:E119)</f>
        <v>100250</v>
      </c>
      <c r="F112" s="125"/>
      <c r="G112" s="125"/>
      <c r="H112" s="125"/>
      <c r="I112" s="125"/>
      <c r="J112" s="125"/>
    </row>
    <row r="113" spans="1:10" s="126" customFormat="1" ht="16.5" customHeight="1">
      <c r="A113" s="133"/>
      <c r="B113" s="116">
        <v>4010</v>
      </c>
      <c r="C113" s="162" t="s">
        <v>188</v>
      </c>
      <c r="D113" s="105"/>
      <c r="E113" s="105">
        <v>56175</v>
      </c>
      <c r="F113" s="125"/>
      <c r="G113" s="125"/>
      <c r="H113" s="125"/>
      <c r="I113" s="125"/>
      <c r="J113" s="125"/>
    </row>
    <row r="114" spans="1:10" s="126" customFormat="1" ht="16.5" customHeight="1">
      <c r="A114" s="95"/>
      <c r="B114" s="112">
        <v>4040</v>
      </c>
      <c r="C114" s="144" t="s">
        <v>189</v>
      </c>
      <c r="D114" s="101"/>
      <c r="E114" s="101">
        <v>5218</v>
      </c>
      <c r="F114" s="125"/>
      <c r="G114" s="125"/>
      <c r="H114" s="125"/>
      <c r="I114" s="125"/>
      <c r="J114" s="125"/>
    </row>
    <row r="115" spans="1:10" s="126" customFormat="1" ht="16.5" customHeight="1">
      <c r="A115" s="95"/>
      <c r="B115" s="112">
        <v>4110</v>
      </c>
      <c r="C115" s="144" t="s">
        <v>190</v>
      </c>
      <c r="D115" s="101"/>
      <c r="E115" s="101">
        <v>10382</v>
      </c>
      <c r="F115" s="125"/>
      <c r="G115" s="125"/>
      <c r="H115" s="125"/>
      <c r="I115" s="125"/>
      <c r="J115" s="125"/>
    </row>
    <row r="116" spans="1:10" s="126" customFormat="1" ht="16.5" customHeight="1">
      <c r="A116" s="133"/>
      <c r="B116" s="112">
        <v>4120</v>
      </c>
      <c r="C116" s="113" t="s">
        <v>191</v>
      </c>
      <c r="D116" s="101"/>
      <c r="E116" s="101">
        <v>1504</v>
      </c>
      <c r="F116" s="125"/>
      <c r="G116" s="125"/>
      <c r="H116" s="125"/>
      <c r="I116" s="125"/>
      <c r="J116" s="125"/>
    </row>
    <row r="117" spans="1:10" s="126" customFormat="1" ht="16.5" customHeight="1">
      <c r="A117" s="95"/>
      <c r="B117" s="155">
        <v>4210</v>
      </c>
      <c r="C117" s="156" t="s">
        <v>194</v>
      </c>
      <c r="D117" s="146"/>
      <c r="E117" s="146">
        <v>25000</v>
      </c>
      <c r="F117" s="125"/>
      <c r="G117" s="125"/>
      <c r="H117" s="125"/>
      <c r="I117" s="125"/>
      <c r="J117" s="125"/>
    </row>
    <row r="118" spans="1:10" s="126" customFormat="1" ht="16.5" customHeight="1">
      <c r="A118" s="95"/>
      <c r="B118" s="116">
        <v>4700</v>
      </c>
      <c r="C118" s="117" t="s">
        <v>218</v>
      </c>
      <c r="D118" s="149"/>
      <c r="E118" s="105">
        <v>1800</v>
      </c>
      <c r="F118" s="125"/>
      <c r="G118" s="125"/>
      <c r="H118" s="125"/>
      <c r="I118" s="125"/>
      <c r="J118" s="125"/>
    </row>
    <row r="119" spans="1:10" s="126" customFormat="1" ht="16.5" customHeight="1">
      <c r="A119" s="150"/>
      <c r="B119" s="132">
        <v>4710</v>
      </c>
      <c r="C119" s="145" t="s">
        <v>204</v>
      </c>
      <c r="D119" s="134"/>
      <c r="E119" s="129">
        <v>171</v>
      </c>
      <c r="F119" s="125"/>
      <c r="G119" s="125"/>
      <c r="H119" s="125"/>
      <c r="I119" s="125"/>
      <c r="J119" s="125"/>
    </row>
    <row r="120" spans="1:10" s="13" customFormat="1" ht="31.5" customHeight="1">
      <c r="A120" s="8">
        <v>9</v>
      </c>
      <c r="B120" s="875"/>
      <c r="C120" s="20" t="s">
        <v>264</v>
      </c>
      <c r="D120" s="11">
        <f>D121</f>
        <v>2500</v>
      </c>
      <c r="E120" s="11">
        <f>E123</f>
        <v>2500</v>
      </c>
      <c r="F120" s="12"/>
      <c r="G120" s="12"/>
      <c r="H120" s="12"/>
      <c r="I120" s="12"/>
      <c r="J120" s="12"/>
    </row>
    <row r="121" spans="1:10" s="126" customFormat="1" ht="46.5" customHeight="1">
      <c r="A121" s="95"/>
      <c r="B121" s="138">
        <v>90020</v>
      </c>
      <c r="C121" s="214" t="s">
        <v>267</v>
      </c>
      <c r="D121" s="140">
        <f>D122</f>
        <v>2500</v>
      </c>
      <c r="E121" s="140"/>
      <c r="F121" s="125"/>
      <c r="G121" s="125"/>
      <c r="H121" s="125"/>
      <c r="I121" s="125"/>
      <c r="J121" s="125"/>
    </row>
    <row r="122" spans="1:10" s="154" customFormat="1" ht="16.5" customHeight="1">
      <c r="A122" s="95"/>
      <c r="B122" s="127" t="s">
        <v>183</v>
      </c>
      <c r="C122" s="128" t="s">
        <v>184</v>
      </c>
      <c r="D122" s="129">
        <v>2500</v>
      </c>
      <c r="E122" s="134"/>
      <c r="F122" s="153"/>
      <c r="G122" s="153"/>
      <c r="H122" s="153"/>
      <c r="I122" s="153"/>
      <c r="J122" s="153"/>
    </row>
    <row r="123" spans="1:10" s="126" customFormat="1" ht="35.25" customHeight="1">
      <c r="A123" s="95"/>
      <c r="B123" s="148">
        <v>90020</v>
      </c>
      <c r="C123" s="152" t="s">
        <v>246</v>
      </c>
      <c r="D123" s="143"/>
      <c r="E123" s="143">
        <f>SUM(E124:E126)</f>
        <v>2500</v>
      </c>
      <c r="F123" s="125"/>
      <c r="G123" s="125"/>
      <c r="H123" s="125"/>
      <c r="I123" s="125"/>
      <c r="J123" s="125"/>
    </row>
    <row r="124" spans="1:10" s="126" customFormat="1" ht="16.5" customHeight="1">
      <c r="A124" s="95"/>
      <c r="B124" s="112">
        <v>4010</v>
      </c>
      <c r="C124" s="144" t="s">
        <v>188</v>
      </c>
      <c r="D124" s="101"/>
      <c r="E124" s="101">
        <v>2089</v>
      </c>
      <c r="F124" s="125"/>
      <c r="G124" s="125"/>
      <c r="H124" s="125"/>
      <c r="I124" s="125"/>
      <c r="J124" s="125"/>
    </row>
    <row r="125" spans="1:10" s="126" customFormat="1" ht="16.5" customHeight="1">
      <c r="A125" s="95"/>
      <c r="B125" s="112">
        <v>4110</v>
      </c>
      <c r="C125" s="144" t="s">
        <v>190</v>
      </c>
      <c r="D125" s="101"/>
      <c r="E125" s="101">
        <v>359</v>
      </c>
      <c r="F125" s="125"/>
      <c r="G125" s="125"/>
      <c r="H125" s="125"/>
      <c r="I125" s="125"/>
      <c r="J125" s="125"/>
    </row>
    <row r="126" spans="1:10" s="126" customFormat="1" ht="16.5" customHeight="1">
      <c r="A126" s="133"/>
      <c r="B126" s="112">
        <v>4120</v>
      </c>
      <c r="C126" s="113" t="s">
        <v>191</v>
      </c>
      <c r="D126" s="101"/>
      <c r="E126" s="101">
        <v>52</v>
      </c>
      <c r="F126" s="125"/>
      <c r="G126" s="125"/>
      <c r="H126" s="125"/>
      <c r="I126" s="125"/>
      <c r="J126" s="125"/>
    </row>
    <row r="127" spans="1:10" s="13" customFormat="1" ht="18" customHeight="1">
      <c r="A127" s="8">
        <v>10</v>
      </c>
      <c r="B127" s="875"/>
      <c r="C127" s="10" t="s">
        <v>234</v>
      </c>
      <c r="D127" s="11">
        <f>D128</f>
        <v>1770</v>
      </c>
      <c r="E127" s="11">
        <f>E130</f>
        <v>1770</v>
      </c>
      <c r="F127" s="12"/>
      <c r="G127" s="12"/>
      <c r="H127" s="12"/>
      <c r="I127" s="12"/>
      <c r="J127" s="12"/>
    </row>
    <row r="128" spans="1:10" s="126" customFormat="1" ht="30.75" customHeight="1">
      <c r="A128" s="95"/>
      <c r="B128" s="138">
        <v>90024</v>
      </c>
      <c r="C128" s="157" t="s">
        <v>235</v>
      </c>
      <c r="D128" s="140">
        <f>D129</f>
        <v>1770</v>
      </c>
      <c r="E128" s="140"/>
      <c r="F128" s="125"/>
      <c r="G128" s="125"/>
      <c r="H128" s="125"/>
      <c r="I128" s="125"/>
      <c r="J128" s="125"/>
    </row>
    <row r="129" spans="1:10" s="154" customFormat="1" ht="15" customHeight="1">
      <c r="A129" s="95"/>
      <c r="B129" s="127" t="s">
        <v>47</v>
      </c>
      <c r="C129" s="147" t="s">
        <v>48</v>
      </c>
      <c r="D129" s="129">
        <v>1770</v>
      </c>
      <c r="E129" s="134"/>
      <c r="F129" s="153"/>
      <c r="G129" s="153"/>
      <c r="H129" s="153"/>
      <c r="I129" s="153"/>
      <c r="J129" s="153"/>
    </row>
    <row r="130" spans="1:10" s="126" customFormat="1" ht="29.25" customHeight="1">
      <c r="A130" s="95"/>
      <c r="B130" s="133">
        <v>90024</v>
      </c>
      <c r="C130" s="158" t="s">
        <v>236</v>
      </c>
      <c r="D130" s="143"/>
      <c r="E130" s="159">
        <f>E131</f>
        <v>1770</v>
      </c>
      <c r="F130" s="125"/>
      <c r="G130" s="125"/>
      <c r="H130" s="125"/>
      <c r="I130" s="125"/>
      <c r="J130" s="125"/>
    </row>
    <row r="131" spans="1:10" s="126" customFormat="1" ht="18" customHeight="1">
      <c r="A131" s="95"/>
      <c r="B131" s="112">
        <v>4210</v>
      </c>
      <c r="C131" s="144" t="s">
        <v>194</v>
      </c>
      <c r="D131" s="137"/>
      <c r="E131" s="101">
        <v>1770</v>
      </c>
      <c r="F131" s="125"/>
      <c r="G131" s="125"/>
      <c r="H131" s="125"/>
      <c r="I131" s="125"/>
      <c r="J131" s="125"/>
    </row>
    <row r="132" spans="1:10" s="13" customFormat="1" ht="18" customHeight="1">
      <c r="A132" s="8">
        <v>11</v>
      </c>
      <c r="B132" s="15"/>
      <c r="C132" s="10" t="s">
        <v>237</v>
      </c>
      <c r="D132" s="16">
        <f>D133</f>
        <v>760</v>
      </c>
      <c r="E132" s="16">
        <f>E135</f>
        <v>760</v>
      </c>
      <c r="F132" s="12"/>
      <c r="G132" s="12"/>
      <c r="H132" s="12"/>
      <c r="I132" s="12"/>
      <c r="J132" s="12"/>
    </row>
    <row r="133" spans="1:10" s="126" customFormat="1" ht="18" customHeight="1">
      <c r="A133" s="135"/>
      <c r="B133" s="889">
        <v>90026</v>
      </c>
      <c r="C133" s="890" t="s">
        <v>238</v>
      </c>
      <c r="D133" s="891">
        <f>D134</f>
        <v>760</v>
      </c>
      <c r="E133" s="891"/>
      <c r="F133" s="125"/>
      <c r="G133" s="125"/>
      <c r="H133" s="125"/>
      <c r="I133" s="125"/>
      <c r="J133" s="125"/>
    </row>
    <row r="134" spans="1:10" s="126" customFormat="1" ht="16.5" customHeight="1">
      <c r="A134" s="218"/>
      <c r="B134" s="892" t="s">
        <v>186</v>
      </c>
      <c r="C134" s="893" t="s">
        <v>187</v>
      </c>
      <c r="D134" s="894">
        <v>760</v>
      </c>
      <c r="E134" s="891"/>
      <c r="F134" s="125"/>
      <c r="G134" s="125"/>
      <c r="H134" s="125"/>
      <c r="I134" s="125"/>
      <c r="J134" s="125"/>
    </row>
    <row r="135" spans="1:10" s="126" customFormat="1" ht="18" customHeight="1">
      <c r="A135" s="95"/>
      <c r="B135" s="148">
        <v>90026</v>
      </c>
      <c r="C135" s="152" t="s">
        <v>239</v>
      </c>
      <c r="D135" s="143"/>
      <c r="E135" s="143">
        <f>E136</f>
        <v>760</v>
      </c>
      <c r="F135" s="125"/>
      <c r="G135" s="125"/>
      <c r="H135" s="125"/>
      <c r="I135" s="125"/>
      <c r="J135" s="125"/>
    </row>
    <row r="136" spans="1:10" s="126" customFormat="1" ht="18" customHeight="1">
      <c r="A136" s="135"/>
      <c r="B136" s="132">
        <v>4210</v>
      </c>
      <c r="C136" s="141" t="s">
        <v>194</v>
      </c>
      <c r="D136" s="134"/>
      <c r="E136" s="129">
        <v>760</v>
      </c>
      <c r="F136" s="125"/>
      <c r="G136" s="125"/>
      <c r="H136" s="125"/>
      <c r="I136" s="125"/>
      <c r="J136" s="125"/>
    </row>
    <row r="137" spans="1:10" s="13" customFormat="1" ht="18" customHeight="1">
      <c r="A137" s="8">
        <v>12</v>
      </c>
      <c r="B137" s="15"/>
      <c r="C137" s="10" t="s">
        <v>240</v>
      </c>
      <c r="D137" s="16">
        <f>D138</f>
        <v>1400</v>
      </c>
      <c r="E137" s="16">
        <f>E140</f>
        <v>1400</v>
      </c>
      <c r="F137" s="12"/>
      <c r="G137" s="12"/>
      <c r="H137" s="12"/>
      <c r="I137" s="12"/>
      <c r="J137" s="12"/>
    </row>
    <row r="138" spans="1:10" s="126" customFormat="1" ht="18" customHeight="1">
      <c r="A138" s="95"/>
      <c r="B138" s="138">
        <v>90095</v>
      </c>
      <c r="C138" s="151" t="s">
        <v>241</v>
      </c>
      <c r="D138" s="140">
        <f>D139</f>
        <v>1400</v>
      </c>
      <c r="E138" s="140"/>
      <c r="F138" s="125"/>
      <c r="G138" s="125"/>
      <c r="H138" s="125"/>
      <c r="I138" s="125"/>
      <c r="J138" s="125"/>
    </row>
    <row r="139" spans="1:10" s="154" customFormat="1" ht="18" customHeight="1">
      <c r="A139" s="95"/>
      <c r="B139" s="127" t="s">
        <v>47</v>
      </c>
      <c r="C139" s="147" t="s">
        <v>48</v>
      </c>
      <c r="D139" s="129">
        <v>1400</v>
      </c>
      <c r="E139" s="134"/>
      <c r="F139" s="153"/>
      <c r="G139" s="153"/>
      <c r="H139" s="153"/>
      <c r="I139" s="153"/>
      <c r="J139" s="153"/>
    </row>
    <row r="140" spans="1:10" s="126" customFormat="1" ht="18" customHeight="1">
      <c r="A140" s="95"/>
      <c r="B140" s="148">
        <v>90095</v>
      </c>
      <c r="C140" s="152" t="s">
        <v>242</v>
      </c>
      <c r="D140" s="143"/>
      <c r="E140" s="143">
        <f>E141</f>
        <v>1400</v>
      </c>
      <c r="F140" s="125"/>
      <c r="G140" s="125"/>
      <c r="H140" s="125"/>
      <c r="I140" s="125"/>
      <c r="J140" s="125"/>
    </row>
    <row r="141" spans="1:10" s="126" customFormat="1" ht="18" customHeight="1">
      <c r="A141" s="135"/>
      <c r="B141" s="132">
        <v>4210</v>
      </c>
      <c r="C141" s="141" t="s">
        <v>194</v>
      </c>
      <c r="D141" s="134"/>
      <c r="E141" s="129">
        <v>1400</v>
      </c>
      <c r="F141" s="125"/>
      <c r="G141" s="125"/>
      <c r="H141" s="125"/>
      <c r="I141" s="125"/>
      <c r="J141" s="125"/>
    </row>
    <row r="142" spans="1:10" s="22" customFormat="1" ht="17.25" customHeight="1">
      <c r="A142" s="8">
        <v>13</v>
      </c>
      <c r="B142" s="875"/>
      <c r="C142" s="10" t="s">
        <v>243</v>
      </c>
      <c r="D142" s="16">
        <f>D143</f>
        <v>233507</v>
      </c>
      <c r="E142" s="16">
        <f>E145</f>
        <v>233507</v>
      </c>
      <c r="F142" s="21"/>
      <c r="G142" s="21"/>
      <c r="H142" s="21"/>
      <c r="I142" s="21"/>
      <c r="J142" s="21"/>
    </row>
    <row r="143" spans="1:10" s="126" customFormat="1" ht="17.25" customHeight="1">
      <c r="A143" s="95"/>
      <c r="B143" s="138">
        <v>90095</v>
      </c>
      <c r="C143" s="217" t="s">
        <v>252</v>
      </c>
      <c r="D143" s="140">
        <f>D144</f>
        <v>233507</v>
      </c>
      <c r="E143" s="140"/>
      <c r="F143" s="125"/>
      <c r="G143" s="125"/>
      <c r="H143" s="125"/>
      <c r="I143" s="125"/>
      <c r="J143" s="125"/>
    </row>
    <row r="144" spans="1:10" s="126" customFormat="1" ht="17.25" customHeight="1">
      <c r="A144" s="95"/>
      <c r="B144" s="127" t="s">
        <v>47</v>
      </c>
      <c r="C144" s="147" t="s">
        <v>48</v>
      </c>
      <c r="D144" s="129">
        <v>233507</v>
      </c>
      <c r="E144" s="160"/>
      <c r="F144" s="125"/>
      <c r="G144" s="125"/>
      <c r="H144" s="125"/>
      <c r="I144" s="125"/>
      <c r="J144" s="125"/>
    </row>
    <row r="145" spans="1:10" s="126" customFormat="1" ht="18" customHeight="1">
      <c r="A145" s="95"/>
      <c r="B145" s="148">
        <v>90095</v>
      </c>
      <c r="C145" s="161" t="s">
        <v>244</v>
      </c>
      <c r="D145" s="143"/>
      <c r="E145" s="143">
        <f>SUM(E146:E153)</f>
        <v>233507</v>
      </c>
      <c r="F145" s="125"/>
      <c r="G145" s="125"/>
      <c r="H145" s="125"/>
      <c r="I145" s="125"/>
      <c r="J145" s="125"/>
    </row>
    <row r="146" spans="1:10" s="154" customFormat="1" ht="18" customHeight="1">
      <c r="A146" s="95"/>
      <c r="B146" s="112">
        <v>4010</v>
      </c>
      <c r="C146" s="144" t="s">
        <v>188</v>
      </c>
      <c r="D146" s="137"/>
      <c r="E146" s="101">
        <v>149923</v>
      </c>
      <c r="F146" s="153"/>
      <c r="G146" s="153"/>
      <c r="H146" s="153"/>
      <c r="I146" s="153"/>
      <c r="J146" s="153"/>
    </row>
    <row r="147" spans="1:10" s="154" customFormat="1" ht="18" customHeight="1">
      <c r="A147" s="95"/>
      <c r="B147" s="112">
        <v>4040</v>
      </c>
      <c r="C147" s="144" t="s">
        <v>189</v>
      </c>
      <c r="D147" s="137"/>
      <c r="E147" s="101">
        <v>13975</v>
      </c>
      <c r="F147" s="153"/>
      <c r="G147" s="153"/>
      <c r="H147" s="153"/>
      <c r="I147" s="153"/>
      <c r="J147" s="153"/>
    </row>
    <row r="148" spans="1:10" s="154" customFormat="1" ht="18" customHeight="1">
      <c r="A148" s="95"/>
      <c r="B148" s="116">
        <v>4110</v>
      </c>
      <c r="C148" s="162" t="s">
        <v>190</v>
      </c>
      <c r="D148" s="149"/>
      <c r="E148" s="105">
        <v>25703</v>
      </c>
      <c r="F148" s="153"/>
      <c r="G148" s="153"/>
      <c r="H148" s="153"/>
      <c r="I148" s="153"/>
      <c r="J148" s="153"/>
    </row>
    <row r="149" spans="1:10" s="154" customFormat="1" ht="18" customHeight="1">
      <c r="A149" s="95"/>
      <c r="B149" s="112">
        <v>4120</v>
      </c>
      <c r="C149" s="113" t="s">
        <v>191</v>
      </c>
      <c r="D149" s="137"/>
      <c r="E149" s="101">
        <v>3663</v>
      </c>
      <c r="F149" s="153"/>
      <c r="G149" s="153"/>
      <c r="H149" s="153"/>
      <c r="I149" s="153"/>
      <c r="J149" s="153"/>
    </row>
    <row r="150" spans="1:10" s="154" customFormat="1" ht="18" customHeight="1">
      <c r="A150" s="95"/>
      <c r="B150" s="112">
        <v>4210</v>
      </c>
      <c r="C150" s="144" t="s">
        <v>194</v>
      </c>
      <c r="D150" s="137"/>
      <c r="E150" s="101">
        <v>20000</v>
      </c>
      <c r="F150" s="153"/>
      <c r="G150" s="153"/>
      <c r="H150" s="153"/>
      <c r="I150" s="153"/>
      <c r="J150" s="153"/>
    </row>
    <row r="151" spans="1:10" s="126" customFormat="1" ht="18" customHeight="1">
      <c r="A151" s="95"/>
      <c r="B151" s="112">
        <v>4300</v>
      </c>
      <c r="C151" s="144" t="s">
        <v>197</v>
      </c>
      <c r="D151" s="137"/>
      <c r="E151" s="101">
        <v>8000</v>
      </c>
      <c r="F151" s="125"/>
      <c r="G151" s="125"/>
      <c r="H151" s="125"/>
      <c r="I151" s="125"/>
      <c r="J151" s="125"/>
    </row>
    <row r="152" spans="1:10" s="126" customFormat="1" ht="18" customHeight="1">
      <c r="A152" s="95"/>
      <c r="B152" s="112">
        <v>4700</v>
      </c>
      <c r="C152" s="117" t="s">
        <v>218</v>
      </c>
      <c r="D152" s="149"/>
      <c r="E152" s="105">
        <v>10000</v>
      </c>
      <c r="F152" s="125"/>
      <c r="G152" s="125"/>
      <c r="H152" s="125"/>
      <c r="I152" s="125"/>
      <c r="J152" s="125"/>
    </row>
    <row r="153" spans="1:10" s="126" customFormat="1" ht="18" customHeight="1">
      <c r="A153" s="150"/>
      <c r="B153" s="132">
        <v>4710</v>
      </c>
      <c r="C153" s="145" t="s">
        <v>204</v>
      </c>
      <c r="D153" s="134"/>
      <c r="E153" s="129">
        <v>2243</v>
      </c>
      <c r="F153" s="125"/>
      <c r="G153" s="125"/>
      <c r="H153" s="125"/>
      <c r="I153" s="125"/>
      <c r="J153" s="125"/>
    </row>
    <row r="154" spans="1:10" s="154" customFormat="1" ht="18" customHeight="1">
      <c r="A154" s="1080" t="s">
        <v>245</v>
      </c>
      <c r="B154" s="1081"/>
      <c r="C154" s="1082"/>
      <c r="D154" s="23">
        <f>D46+D99+D120+D127+D86+D72+D137+D132+D142+D10+D30+D25+D41</f>
        <v>45463525</v>
      </c>
      <c r="E154" s="23">
        <f>E46+E99+E120+E127+E86+E72+E137+E132+E142+E10+E30+E25+E41</f>
        <v>52468525</v>
      </c>
      <c r="F154" s="153"/>
      <c r="G154" s="153"/>
      <c r="H154" s="153"/>
      <c r="I154" s="153"/>
      <c r="J154" s="153"/>
    </row>
    <row r="156" spans="1:10">
      <c r="D156" s="895"/>
      <c r="E156" s="895"/>
    </row>
  </sheetData>
  <sheetProtection algorithmName="SHA-512" hashValue="7uTIKJGJf2Z6XT/UfKLAaJkeUwVD8IYDMUXjqTvL8R01nm9lPQUFnMA0rlWRqUkSZpeOVVYK9LPscQRy3ewhZQ==" saltValue="zOBlg1pmdKQTDYnG5rLvlQ==" spinCount="100000" sheet="1" objects="1" scenarios="1"/>
  <mergeCells count="7">
    <mergeCell ref="A6:E6"/>
    <mergeCell ref="A154:C154"/>
    <mergeCell ref="C1:E1"/>
    <mergeCell ref="C2:E2"/>
    <mergeCell ref="C3:E3"/>
    <mergeCell ref="A4:E4"/>
    <mergeCell ref="A5:E5"/>
  </mergeCells>
  <printOptions horizontalCentered="1"/>
  <pageMargins left="0.70866141732283472" right="0.70866141732283472" top="0.98425196850393704" bottom="0.74803149606299213" header="0.31496062992125984" footer="0.19685039370078741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Q202"/>
  <sheetViews>
    <sheetView view="pageBreakPreview" topLeftCell="A147" zoomScaleNormal="100" zoomScaleSheetLayoutView="100" workbookViewId="0">
      <selection activeCell="G176" sqref="G176"/>
    </sheetView>
  </sheetViews>
  <sheetFormatPr defaultRowHeight="12.75"/>
  <cols>
    <col min="1" max="1" width="8" style="263" customWidth="1"/>
    <col min="2" max="2" width="37.875" style="263" customWidth="1"/>
    <col min="3" max="3" width="12.25" style="264" customWidth="1"/>
    <col min="4" max="4" width="13.125" style="264" customWidth="1"/>
    <col min="5" max="5" width="10.125" style="264" customWidth="1"/>
    <col min="6" max="6" width="1.625" style="263" customWidth="1"/>
    <col min="7" max="8" width="13" style="264" customWidth="1"/>
    <col min="9" max="9" width="9.875" style="264" customWidth="1"/>
    <col min="10" max="256" width="9" style="263"/>
    <col min="257" max="257" width="8" style="263" customWidth="1"/>
    <col min="258" max="258" width="37.875" style="263" customWidth="1"/>
    <col min="259" max="259" width="12.25" style="263" customWidth="1"/>
    <col min="260" max="260" width="13.125" style="263" customWidth="1"/>
    <col min="261" max="261" width="10.125" style="263" customWidth="1"/>
    <col min="262" max="262" width="1.625" style="263" customWidth="1"/>
    <col min="263" max="264" width="13" style="263" customWidth="1"/>
    <col min="265" max="265" width="9.875" style="263" customWidth="1"/>
    <col min="266" max="512" width="9" style="263"/>
    <col min="513" max="513" width="8" style="263" customWidth="1"/>
    <col min="514" max="514" width="37.875" style="263" customWidth="1"/>
    <col min="515" max="515" width="12.25" style="263" customWidth="1"/>
    <col min="516" max="516" width="13.125" style="263" customWidth="1"/>
    <col min="517" max="517" width="10.125" style="263" customWidth="1"/>
    <col min="518" max="518" width="1.625" style="263" customWidth="1"/>
    <col min="519" max="520" width="13" style="263" customWidth="1"/>
    <col min="521" max="521" width="9.875" style="263" customWidth="1"/>
    <col min="522" max="768" width="9" style="263"/>
    <col min="769" max="769" width="8" style="263" customWidth="1"/>
    <col min="770" max="770" width="37.875" style="263" customWidth="1"/>
    <col min="771" max="771" width="12.25" style="263" customWidth="1"/>
    <col min="772" max="772" width="13.125" style="263" customWidth="1"/>
    <col min="773" max="773" width="10.125" style="263" customWidth="1"/>
    <col min="774" max="774" width="1.625" style="263" customWidth="1"/>
    <col min="775" max="776" width="13" style="263" customWidth="1"/>
    <col min="777" max="777" width="9.875" style="263" customWidth="1"/>
    <col min="778" max="1024" width="9" style="263"/>
    <col min="1025" max="1025" width="8" style="263" customWidth="1"/>
    <col min="1026" max="1026" width="37.875" style="263" customWidth="1"/>
    <col min="1027" max="1027" width="12.25" style="263" customWidth="1"/>
    <col min="1028" max="1028" width="13.125" style="263" customWidth="1"/>
    <col min="1029" max="1029" width="10.125" style="263" customWidth="1"/>
    <col min="1030" max="1030" width="1.625" style="263" customWidth="1"/>
    <col min="1031" max="1032" width="13" style="263" customWidth="1"/>
    <col min="1033" max="1033" width="9.875" style="263" customWidth="1"/>
    <col min="1034" max="1280" width="9" style="263"/>
    <col min="1281" max="1281" width="8" style="263" customWidth="1"/>
    <col min="1282" max="1282" width="37.875" style="263" customWidth="1"/>
    <col min="1283" max="1283" width="12.25" style="263" customWidth="1"/>
    <col min="1284" max="1284" width="13.125" style="263" customWidth="1"/>
    <col min="1285" max="1285" width="10.125" style="263" customWidth="1"/>
    <col min="1286" max="1286" width="1.625" style="263" customWidth="1"/>
    <col min="1287" max="1288" width="13" style="263" customWidth="1"/>
    <col min="1289" max="1289" width="9.875" style="263" customWidth="1"/>
    <col min="1290" max="1536" width="9" style="263"/>
    <col min="1537" max="1537" width="8" style="263" customWidth="1"/>
    <col min="1538" max="1538" width="37.875" style="263" customWidth="1"/>
    <col min="1539" max="1539" width="12.25" style="263" customWidth="1"/>
    <col min="1540" max="1540" width="13.125" style="263" customWidth="1"/>
    <col min="1541" max="1541" width="10.125" style="263" customWidth="1"/>
    <col min="1542" max="1542" width="1.625" style="263" customWidth="1"/>
    <col min="1543" max="1544" width="13" style="263" customWidth="1"/>
    <col min="1545" max="1545" width="9.875" style="263" customWidth="1"/>
    <col min="1546" max="1792" width="9" style="263"/>
    <col min="1793" max="1793" width="8" style="263" customWidth="1"/>
    <col min="1794" max="1794" width="37.875" style="263" customWidth="1"/>
    <col min="1795" max="1795" width="12.25" style="263" customWidth="1"/>
    <col min="1796" max="1796" width="13.125" style="263" customWidth="1"/>
    <col min="1797" max="1797" width="10.125" style="263" customWidth="1"/>
    <col min="1798" max="1798" width="1.625" style="263" customWidth="1"/>
    <col min="1799" max="1800" width="13" style="263" customWidth="1"/>
    <col min="1801" max="1801" width="9.875" style="263" customWidth="1"/>
    <col min="1802" max="2048" width="9" style="263"/>
    <col min="2049" max="2049" width="8" style="263" customWidth="1"/>
    <col min="2050" max="2050" width="37.875" style="263" customWidth="1"/>
    <col min="2051" max="2051" width="12.25" style="263" customWidth="1"/>
    <col min="2052" max="2052" width="13.125" style="263" customWidth="1"/>
    <col min="2053" max="2053" width="10.125" style="263" customWidth="1"/>
    <col min="2054" max="2054" width="1.625" style="263" customWidth="1"/>
    <col min="2055" max="2056" width="13" style="263" customWidth="1"/>
    <col min="2057" max="2057" width="9.875" style="263" customWidth="1"/>
    <col min="2058" max="2304" width="9" style="263"/>
    <col min="2305" max="2305" width="8" style="263" customWidth="1"/>
    <col min="2306" max="2306" width="37.875" style="263" customWidth="1"/>
    <col min="2307" max="2307" width="12.25" style="263" customWidth="1"/>
    <col min="2308" max="2308" width="13.125" style="263" customWidth="1"/>
    <col min="2309" max="2309" width="10.125" style="263" customWidth="1"/>
    <col min="2310" max="2310" width="1.625" style="263" customWidth="1"/>
    <col min="2311" max="2312" width="13" style="263" customWidth="1"/>
    <col min="2313" max="2313" width="9.875" style="263" customWidth="1"/>
    <col min="2314" max="2560" width="9" style="263"/>
    <col min="2561" max="2561" width="8" style="263" customWidth="1"/>
    <col min="2562" max="2562" width="37.875" style="263" customWidth="1"/>
    <col min="2563" max="2563" width="12.25" style="263" customWidth="1"/>
    <col min="2564" max="2564" width="13.125" style="263" customWidth="1"/>
    <col min="2565" max="2565" width="10.125" style="263" customWidth="1"/>
    <col min="2566" max="2566" width="1.625" style="263" customWidth="1"/>
    <col min="2567" max="2568" width="13" style="263" customWidth="1"/>
    <col min="2569" max="2569" width="9.875" style="263" customWidth="1"/>
    <col min="2570" max="2816" width="9" style="263"/>
    <col min="2817" max="2817" width="8" style="263" customWidth="1"/>
    <col min="2818" max="2818" width="37.875" style="263" customWidth="1"/>
    <col min="2819" max="2819" width="12.25" style="263" customWidth="1"/>
    <col min="2820" max="2820" width="13.125" style="263" customWidth="1"/>
    <col min="2821" max="2821" width="10.125" style="263" customWidth="1"/>
    <col min="2822" max="2822" width="1.625" style="263" customWidth="1"/>
    <col min="2823" max="2824" width="13" style="263" customWidth="1"/>
    <col min="2825" max="2825" width="9.875" style="263" customWidth="1"/>
    <col min="2826" max="3072" width="9" style="263"/>
    <col min="3073" max="3073" width="8" style="263" customWidth="1"/>
    <col min="3074" max="3074" width="37.875" style="263" customWidth="1"/>
    <col min="3075" max="3075" width="12.25" style="263" customWidth="1"/>
    <col min="3076" max="3076" width="13.125" style="263" customWidth="1"/>
    <col min="3077" max="3077" width="10.125" style="263" customWidth="1"/>
    <col min="3078" max="3078" width="1.625" style="263" customWidth="1"/>
    <col min="3079" max="3080" width="13" style="263" customWidth="1"/>
    <col min="3081" max="3081" width="9.875" style="263" customWidth="1"/>
    <col min="3082" max="3328" width="9" style="263"/>
    <col min="3329" max="3329" width="8" style="263" customWidth="1"/>
    <col min="3330" max="3330" width="37.875" style="263" customWidth="1"/>
    <col min="3331" max="3331" width="12.25" style="263" customWidth="1"/>
    <col min="3332" max="3332" width="13.125" style="263" customWidth="1"/>
    <col min="3333" max="3333" width="10.125" style="263" customWidth="1"/>
    <col min="3334" max="3334" width="1.625" style="263" customWidth="1"/>
    <col min="3335" max="3336" width="13" style="263" customWidth="1"/>
    <col min="3337" max="3337" width="9.875" style="263" customWidth="1"/>
    <col min="3338" max="3584" width="9" style="263"/>
    <col min="3585" max="3585" width="8" style="263" customWidth="1"/>
    <col min="3586" max="3586" width="37.875" style="263" customWidth="1"/>
    <col min="3587" max="3587" width="12.25" style="263" customWidth="1"/>
    <col min="3588" max="3588" width="13.125" style="263" customWidth="1"/>
    <col min="3589" max="3589" width="10.125" style="263" customWidth="1"/>
    <col min="3590" max="3590" width="1.625" style="263" customWidth="1"/>
    <col min="3591" max="3592" width="13" style="263" customWidth="1"/>
    <col min="3593" max="3593" width="9.875" style="263" customWidth="1"/>
    <col min="3594" max="3840" width="9" style="263"/>
    <col min="3841" max="3841" width="8" style="263" customWidth="1"/>
    <col min="3842" max="3842" width="37.875" style="263" customWidth="1"/>
    <col min="3843" max="3843" width="12.25" style="263" customWidth="1"/>
    <col min="3844" max="3844" width="13.125" style="263" customWidth="1"/>
    <col min="3845" max="3845" width="10.125" style="263" customWidth="1"/>
    <col min="3846" max="3846" width="1.625" style="263" customWidth="1"/>
    <col min="3847" max="3848" width="13" style="263" customWidth="1"/>
    <col min="3849" max="3849" width="9.875" style="263" customWidth="1"/>
    <col min="3850" max="4096" width="9" style="263"/>
    <col min="4097" max="4097" width="8" style="263" customWidth="1"/>
    <col min="4098" max="4098" width="37.875" style="263" customWidth="1"/>
    <col min="4099" max="4099" width="12.25" style="263" customWidth="1"/>
    <col min="4100" max="4100" width="13.125" style="263" customWidth="1"/>
    <col min="4101" max="4101" width="10.125" style="263" customWidth="1"/>
    <col min="4102" max="4102" width="1.625" style="263" customWidth="1"/>
    <col min="4103" max="4104" width="13" style="263" customWidth="1"/>
    <col min="4105" max="4105" width="9.875" style="263" customWidth="1"/>
    <col min="4106" max="4352" width="9" style="263"/>
    <col min="4353" max="4353" width="8" style="263" customWidth="1"/>
    <col min="4354" max="4354" width="37.875" style="263" customWidth="1"/>
    <col min="4355" max="4355" width="12.25" style="263" customWidth="1"/>
    <col min="4356" max="4356" width="13.125" style="263" customWidth="1"/>
    <col min="4357" max="4357" width="10.125" style="263" customWidth="1"/>
    <col min="4358" max="4358" width="1.625" style="263" customWidth="1"/>
    <col min="4359" max="4360" width="13" style="263" customWidth="1"/>
    <col min="4361" max="4361" width="9.875" style="263" customWidth="1"/>
    <col min="4362" max="4608" width="9" style="263"/>
    <col min="4609" max="4609" width="8" style="263" customWidth="1"/>
    <col min="4610" max="4610" width="37.875" style="263" customWidth="1"/>
    <col min="4611" max="4611" width="12.25" style="263" customWidth="1"/>
    <col min="4612" max="4612" width="13.125" style="263" customWidth="1"/>
    <col min="4613" max="4613" width="10.125" style="263" customWidth="1"/>
    <col min="4614" max="4614" width="1.625" style="263" customWidth="1"/>
    <col min="4615" max="4616" width="13" style="263" customWidth="1"/>
    <col min="4617" max="4617" width="9.875" style="263" customWidth="1"/>
    <col min="4618" max="4864" width="9" style="263"/>
    <col min="4865" max="4865" width="8" style="263" customWidth="1"/>
    <col min="4866" max="4866" width="37.875" style="263" customWidth="1"/>
    <col min="4867" max="4867" width="12.25" style="263" customWidth="1"/>
    <col min="4868" max="4868" width="13.125" style="263" customWidth="1"/>
    <col min="4869" max="4869" width="10.125" style="263" customWidth="1"/>
    <col min="4870" max="4870" width="1.625" style="263" customWidth="1"/>
    <col min="4871" max="4872" width="13" style="263" customWidth="1"/>
    <col min="4873" max="4873" width="9.875" style="263" customWidth="1"/>
    <col min="4874" max="5120" width="9" style="263"/>
    <col min="5121" max="5121" width="8" style="263" customWidth="1"/>
    <col min="5122" max="5122" width="37.875" style="263" customWidth="1"/>
    <col min="5123" max="5123" width="12.25" style="263" customWidth="1"/>
    <col min="5124" max="5124" width="13.125" style="263" customWidth="1"/>
    <col min="5125" max="5125" width="10.125" style="263" customWidth="1"/>
    <col min="5126" max="5126" width="1.625" style="263" customWidth="1"/>
    <col min="5127" max="5128" width="13" style="263" customWidth="1"/>
    <col min="5129" max="5129" width="9.875" style="263" customWidth="1"/>
    <col min="5130" max="5376" width="9" style="263"/>
    <col min="5377" max="5377" width="8" style="263" customWidth="1"/>
    <col min="5378" max="5378" width="37.875" style="263" customWidth="1"/>
    <col min="5379" max="5379" width="12.25" style="263" customWidth="1"/>
    <col min="5380" max="5380" width="13.125" style="263" customWidth="1"/>
    <col min="5381" max="5381" width="10.125" style="263" customWidth="1"/>
    <col min="5382" max="5382" width="1.625" style="263" customWidth="1"/>
    <col min="5383" max="5384" width="13" style="263" customWidth="1"/>
    <col min="5385" max="5385" width="9.875" style="263" customWidth="1"/>
    <col min="5386" max="5632" width="9" style="263"/>
    <col min="5633" max="5633" width="8" style="263" customWidth="1"/>
    <col min="5634" max="5634" width="37.875" style="263" customWidth="1"/>
    <col min="5635" max="5635" width="12.25" style="263" customWidth="1"/>
    <col min="5636" max="5636" width="13.125" style="263" customWidth="1"/>
    <col min="5637" max="5637" width="10.125" style="263" customWidth="1"/>
    <col min="5638" max="5638" width="1.625" style="263" customWidth="1"/>
    <col min="5639" max="5640" width="13" style="263" customWidth="1"/>
    <col min="5641" max="5641" width="9.875" style="263" customWidth="1"/>
    <col min="5642" max="5888" width="9" style="263"/>
    <col min="5889" max="5889" width="8" style="263" customWidth="1"/>
    <col min="5890" max="5890" width="37.875" style="263" customWidth="1"/>
    <col min="5891" max="5891" width="12.25" style="263" customWidth="1"/>
    <col min="5892" max="5892" width="13.125" style="263" customWidth="1"/>
    <col min="5893" max="5893" width="10.125" style="263" customWidth="1"/>
    <col min="5894" max="5894" width="1.625" style="263" customWidth="1"/>
    <col min="5895" max="5896" width="13" style="263" customWidth="1"/>
    <col min="5897" max="5897" width="9.875" style="263" customWidth="1"/>
    <col min="5898" max="6144" width="9" style="263"/>
    <col min="6145" max="6145" width="8" style="263" customWidth="1"/>
    <col min="6146" max="6146" width="37.875" style="263" customWidth="1"/>
    <col min="6147" max="6147" width="12.25" style="263" customWidth="1"/>
    <col min="6148" max="6148" width="13.125" style="263" customWidth="1"/>
    <col min="6149" max="6149" width="10.125" style="263" customWidth="1"/>
    <col min="6150" max="6150" width="1.625" style="263" customWidth="1"/>
    <col min="6151" max="6152" width="13" style="263" customWidth="1"/>
    <col min="6153" max="6153" width="9.875" style="263" customWidth="1"/>
    <col min="6154" max="6400" width="9" style="263"/>
    <col min="6401" max="6401" width="8" style="263" customWidth="1"/>
    <col min="6402" max="6402" width="37.875" style="263" customWidth="1"/>
    <col min="6403" max="6403" width="12.25" style="263" customWidth="1"/>
    <col min="6404" max="6404" width="13.125" style="263" customWidth="1"/>
    <col min="6405" max="6405" width="10.125" style="263" customWidth="1"/>
    <col min="6406" max="6406" width="1.625" style="263" customWidth="1"/>
    <col min="6407" max="6408" width="13" style="263" customWidth="1"/>
    <col min="6409" max="6409" width="9.875" style="263" customWidth="1"/>
    <col min="6410" max="6656" width="9" style="263"/>
    <col min="6657" max="6657" width="8" style="263" customWidth="1"/>
    <col min="6658" max="6658" width="37.875" style="263" customWidth="1"/>
    <col min="6659" max="6659" width="12.25" style="263" customWidth="1"/>
    <col min="6660" max="6660" width="13.125" style="263" customWidth="1"/>
    <col min="6661" max="6661" width="10.125" style="263" customWidth="1"/>
    <col min="6662" max="6662" width="1.625" style="263" customWidth="1"/>
    <col min="6663" max="6664" width="13" style="263" customWidth="1"/>
    <col min="6665" max="6665" width="9.875" style="263" customWidth="1"/>
    <col min="6666" max="6912" width="9" style="263"/>
    <col min="6913" max="6913" width="8" style="263" customWidth="1"/>
    <col min="6914" max="6914" width="37.875" style="263" customWidth="1"/>
    <col min="6915" max="6915" width="12.25" style="263" customWidth="1"/>
    <col min="6916" max="6916" width="13.125" style="263" customWidth="1"/>
    <col min="6917" max="6917" width="10.125" style="263" customWidth="1"/>
    <col min="6918" max="6918" width="1.625" style="263" customWidth="1"/>
    <col min="6919" max="6920" width="13" style="263" customWidth="1"/>
    <col min="6921" max="6921" width="9.875" style="263" customWidth="1"/>
    <col min="6922" max="7168" width="9" style="263"/>
    <col min="7169" max="7169" width="8" style="263" customWidth="1"/>
    <col min="7170" max="7170" width="37.875" style="263" customWidth="1"/>
    <col min="7171" max="7171" width="12.25" style="263" customWidth="1"/>
    <col min="7172" max="7172" width="13.125" style="263" customWidth="1"/>
    <col min="7173" max="7173" width="10.125" style="263" customWidth="1"/>
    <col min="7174" max="7174" width="1.625" style="263" customWidth="1"/>
    <col min="7175" max="7176" width="13" style="263" customWidth="1"/>
    <col min="7177" max="7177" width="9.875" style="263" customWidth="1"/>
    <col min="7178" max="7424" width="9" style="263"/>
    <col min="7425" max="7425" width="8" style="263" customWidth="1"/>
    <col min="7426" max="7426" width="37.875" style="263" customWidth="1"/>
    <col min="7427" max="7427" width="12.25" style="263" customWidth="1"/>
    <col min="7428" max="7428" width="13.125" style="263" customWidth="1"/>
    <col min="7429" max="7429" width="10.125" style="263" customWidth="1"/>
    <col min="7430" max="7430" width="1.625" style="263" customWidth="1"/>
    <col min="7431" max="7432" width="13" style="263" customWidth="1"/>
    <col min="7433" max="7433" width="9.875" style="263" customWidth="1"/>
    <col min="7434" max="7680" width="9" style="263"/>
    <col min="7681" max="7681" width="8" style="263" customWidth="1"/>
    <col min="7682" max="7682" width="37.875" style="263" customWidth="1"/>
    <col min="7683" max="7683" width="12.25" style="263" customWidth="1"/>
    <col min="7684" max="7684" width="13.125" style="263" customWidth="1"/>
    <col min="7685" max="7685" width="10.125" style="263" customWidth="1"/>
    <col min="7686" max="7686" width="1.625" style="263" customWidth="1"/>
    <col min="7687" max="7688" width="13" style="263" customWidth="1"/>
    <col min="7689" max="7689" width="9.875" style="263" customWidth="1"/>
    <col min="7690" max="7936" width="9" style="263"/>
    <col min="7937" max="7937" width="8" style="263" customWidth="1"/>
    <col min="7938" max="7938" width="37.875" style="263" customWidth="1"/>
    <col min="7939" max="7939" width="12.25" style="263" customWidth="1"/>
    <col min="7940" max="7940" width="13.125" style="263" customWidth="1"/>
    <col min="7941" max="7941" width="10.125" style="263" customWidth="1"/>
    <col min="7942" max="7942" width="1.625" style="263" customWidth="1"/>
    <col min="7943" max="7944" width="13" style="263" customWidth="1"/>
    <col min="7945" max="7945" width="9.875" style="263" customWidth="1"/>
    <col min="7946" max="8192" width="9" style="263"/>
    <col min="8193" max="8193" width="8" style="263" customWidth="1"/>
    <col min="8194" max="8194" width="37.875" style="263" customWidth="1"/>
    <col min="8195" max="8195" width="12.25" style="263" customWidth="1"/>
    <col min="8196" max="8196" width="13.125" style="263" customWidth="1"/>
    <col min="8197" max="8197" width="10.125" style="263" customWidth="1"/>
    <col min="8198" max="8198" width="1.625" style="263" customWidth="1"/>
    <col min="8199" max="8200" width="13" style="263" customWidth="1"/>
    <col min="8201" max="8201" width="9.875" style="263" customWidth="1"/>
    <col min="8202" max="8448" width="9" style="263"/>
    <col min="8449" max="8449" width="8" style="263" customWidth="1"/>
    <col min="8450" max="8450" width="37.875" style="263" customWidth="1"/>
    <col min="8451" max="8451" width="12.25" style="263" customWidth="1"/>
    <col min="8452" max="8452" width="13.125" style="263" customWidth="1"/>
    <col min="8453" max="8453" width="10.125" style="263" customWidth="1"/>
    <col min="8454" max="8454" width="1.625" style="263" customWidth="1"/>
    <col min="8455" max="8456" width="13" style="263" customWidth="1"/>
    <col min="8457" max="8457" width="9.875" style="263" customWidth="1"/>
    <col min="8458" max="8704" width="9" style="263"/>
    <col min="8705" max="8705" width="8" style="263" customWidth="1"/>
    <col min="8706" max="8706" width="37.875" style="263" customWidth="1"/>
    <col min="8707" max="8707" width="12.25" style="263" customWidth="1"/>
    <col min="8708" max="8708" width="13.125" style="263" customWidth="1"/>
    <col min="8709" max="8709" width="10.125" style="263" customWidth="1"/>
    <col min="8710" max="8710" width="1.625" style="263" customWidth="1"/>
    <col min="8711" max="8712" width="13" style="263" customWidth="1"/>
    <col min="8713" max="8713" width="9.875" style="263" customWidth="1"/>
    <col min="8714" max="8960" width="9" style="263"/>
    <col min="8961" max="8961" width="8" style="263" customWidth="1"/>
    <col min="8962" max="8962" width="37.875" style="263" customWidth="1"/>
    <col min="8963" max="8963" width="12.25" style="263" customWidth="1"/>
    <col min="8964" max="8964" width="13.125" style="263" customWidth="1"/>
    <col min="8965" max="8965" width="10.125" style="263" customWidth="1"/>
    <col min="8966" max="8966" width="1.625" style="263" customWidth="1"/>
    <col min="8967" max="8968" width="13" style="263" customWidth="1"/>
    <col min="8969" max="8969" width="9.875" style="263" customWidth="1"/>
    <col min="8970" max="9216" width="9" style="263"/>
    <col min="9217" max="9217" width="8" style="263" customWidth="1"/>
    <col min="9218" max="9218" width="37.875" style="263" customWidth="1"/>
    <col min="9219" max="9219" width="12.25" style="263" customWidth="1"/>
    <col min="9220" max="9220" width="13.125" style="263" customWidth="1"/>
    <col min="9221" max="9221" width="10.125" style="263" customWidth="1"/>
    <col min="9222" max="9222" width="1.625" style="263" customWidth="1"/>
    <col min="9223" max="9224" width="13" style="263" customWidth="1"/>
    <col min="9225" max="9225" width="9.875" style="263" customWidth="1"/>
    <col min="9226" max="9472" width="9" style="263"/>
    <col min="9473" max="9473" width="8" style="263" customWidth="1"/>
    <col min="9474" max="9474" width="37.875" style="263" customWidth="1"/>
    <col min="9475" max="9475" width="12.25" style="263" customWidth="1"/>
    <col min="9476" max="9476" width="13.125" style="263" customWidth="1"/>
    <col min="9477" max="9477" width="10.125" style="263" customWidth="1"/>
    <col min="9478" max="9478" width="1.625" style="263" customWidth="1"/>
    <col min="9479" max="9480" width="13" style="263" customWidth="1"/>
    <col min="9481" max="9481" width="9.875" style="263" customWidth="1"/>
    <col min="9482" max="9728" width="9" style="263"/>
    <col min="9729" max="9729" width="8" style="263" customWidth="1"/>
    <col min="9730" max="9730" width="37.875" style="263" customWidth="1"/>
    <col min="9731" max="9731" width="12.25" style="263" customWidth="1"/>
    <col min="9732" max="9732" width="13.125" style="263" customWidth="1"/>
    <col min="9733" max="9733" width="10.125" style="263" customWidth="1"/>
    <col min="9734" max="9734" width="1.625" style="263" customWidth="1"/>
    <col min="9735" max="9736" width="13" style="263" customWidth="1"/>
    <col min="9737" max="9737" width="9.875" style="263" customWidth="1"/>
    <col min="9738" max="9984" width="9" style="263"/>
    <col min="9985" max="9985" width="8" style="263" customWidth="1"/>
    <col min="9986" max="9986" width="37.875" style="263" customWidth="1"/>
    <col min="9987" max="9987" width="12.25" style="263" customWidth="1"/>
    <col min="9988" max="9988" width="13.125" style="263" customWidth="1"/>
    <col min="9989" max="9989" width="10.125" style="263" customWidth="1"/>
    <col min="9990" max="9990" width="1.625" style="263" customWidth="1"/>
    <col min="9991" max="9992" width="13" style="263" customWidth="1"/>
    <col min="9993" max="9993" width="9.875" style="263" customWidth="1"/>
    <col min="9994" max="10240" width="9" style="263"/>
    <col min="10241" max="10241" width="8" style="263" customWidth="1"/>
    <col min="10242" max="10242" width="37.875" style="263" customWidth="1"/>
    <col min="10243" max="10243" width="12.25" style="263" customWidth="1"/>
    <col min="10244" max="10244" width="13.125" style="263" customWidth="1"/>
    <col min="10245" max="10245" width="10.125" style="263" customWidth="1"/>
    <col min="10246" max="10246" width="1.625" style="263" customWidth="1"/>
    <col min="10247" max="10248" width="13" style="263" customWidth="1"/>
    <col min="10249" max="10249" width="9.875" style="263" customWidth="1"/>
    <col min="10250" max="10496" width="9" style="263"/>
    <col min="10497" max="10497" width="8" style="263" customWidth="1"/>
    <col min="10498" max="10498" width="37.875" style="263" customWidth="1"/>
    <col min="10499" max="10499" width="12.25" style="263" customWidth="1"/>
    <col min="10500" max="10500" width="13.125" style="263" customWidth="1"/>
    <col min="10501" max="10501" width="10.125" style="263" customWidth="1"/>
    <col min="10502" max="10502" width="1.625" style="263" customWidth="1"/>
    <col min="10503" max="10504" width="13" style="263" customWidth="1"/>
    <col min="10505" max="10505" width="9.875" style="263" customWidth="1"/>
    <col min="10506" max="10752" width="9" style="263"/>
    <col min="10753" max="10753" width="8" style="263" customWidth="1"/>
    <col min="10754" max="10754" width="37.875" style="263" customWidth="1"/>
    <col min="10755" max="10755" width="12.25" style="263" customWidth="1"/>
    <col min="10756" max="10756" width="13.125" style="263" customWidth="1"/>
    <col min="10757" max="10757" width="10.125" style="263" customWidth="1"/>
    <col min="10758" max="10758" width="1.625" style="263" customWidth="1"/>
    <col min="10759" max="10760" width="13" style="263" customWidth="1"/>
    <col min="10761" max="10761" width="9.875" style="263" customWidth="1"/>
    <col min="10762" max="11008" width="9" style="263"/>
    <col min="11009" max="11009" width="8" style="263" customWidth="1"/>
    <col min="11010" max="11010" width="37.875" style="263" customWidth="1"/>
    <col min="11011" max="11011" width="12.25" style="263" customWidth="1"/>
    <col min="11012" max="11012" width="13.125" style="263" customWidth="1"/>
    <col min="11013" max="11013" width="10.125" style="263" customWidth="1"/>
    <col min="11014" max="11014" width="1.625" style="263" customWidth="1"/>
    <col min="11015" max="11016" width="13" style="263" customWidth="1"/>
    <col min="11017" max="11017" width="9.875" style="263" customWidth="1"/>
    <col min="11018" max="11264" width="9" style="263"/>
    <col min="11265" max="11265" width="8" style="263" customWidth="1"/>
    <col min="11266" max="11266" width="37.875" style="263" customWidth="1"/>
    <col min="11267" max="11267" width="12.25" style="263" customWidth="1"/>
    <col min="11268" max="11268" width="13.125" style="263" customWidth="1"/>
    <col min="11269" max="11269" width="10.125" style="263" customWidth="1"/>
    <col min="11270" max="11270" width="1.625" style="263" customWidth="1"/>
    <col min="11271" max="11272" width="13" style="263" customWidth="1"/>
    <col min="11273" max="11273" width="9.875" style="263" customWidth="1"/>
    <col min="11274" max="11520" width="9" style="263"/>
    <col min="11521" max="11521" width="8" style="263" customWidth="1"/>
    <col min="11522" max="11522" width="37.875" style="263" customWidth="1"/>
    <col min="11523" max="11523" width="12.25" style="263" customWidth="1"/>
    <col min="11524" max="11524" width="13.125" style="263" customWidth="1"/>
    <col min="11525" max="11525" width="10.125" style="263" customWidth="1"/>
    <col min="11526" max="11526" width="1.625" style="263" customWidth="1"/>
    <col min="11527" max="11528" width="13" style="263" customWidth="1"/>
    <col min="11529" max="11529" width="9.875" style="263" customWidth="1"/>
    <col min="11530" max="11776" width="9" style="263"/>
    <col min="11777" max="11777" width="8" style="263" customWidth="1"/>
    <col min="11778" max="11778" width="37.875" style="263" customWidth="1"/>
    <col min="11779" max="11779" width="12.25" style="263" customWidth="1"/>
    <col min="11780" max="11780" width="13.125" style="263" customWidth="1"/>
    <col min="11781" max="11781" width="10.125" style="263" customWidth="1"/>
    <col min="11782" max="11782" width="1.625" style="263" customWidth="1"/>
    <col min="11783" max="11784" width="13" style="263" customWidth="1"/>
    <col min="11785" max="11785" width="9.875" style="263" customWidth="1"/>
    <col min="11786" max="12032" width="9" style="263"/>
    <col min="12033" max="12033" width="8" style="263" customWidth="1"/>
    <col min="12034" max="12034" width="37.875" style="263" customWidth="1"/>
    <col min="12035" max="12035" width="12.25" style="263" customWidth="1"/>
    <col min="12036" max="12036" width="13.125" style="263" customWidth="1"/>
    <col min="12037" max="12037" width="10.125" style="263" customWidth="1"/>
    <col min="12038" max="12038" width="1.625" style="263" customWidth="1"/>
    <col min="12039" max="12040" width="13" style="263" customWidth="1"/>
    <col min="12041" max="12041" width="9.875" style="263" customWidth="1"/>
    <col min="12042" max="12288" width="9" style="263"/>
    <col min="12289" max="12289" width="8" style="263" customWidth="1"/>
    <col min="12290" max="12290" width="37.875" style="263" customWidth="1"/>
    <col min="12291" max="12291" width="12.25" style="263" customWidth="1"/>
    <col min="12292" max="12292" width="13.125" style="263" customWidth="1"/>
    <col min="12293" max="12293" width="10.125" style="263" customWidth="1"/>
    <col min="12294" max="12294" width="1.625" style="263" customWidth="1"/>
    <col min="12295" max="12296" width="13" style="263" customWidth="1"/>
    <col min="12297" max="12297" width="9.875" style="263" customWidth="1"/>
    <col min="12298" max="12544" width="9" style="263"/>
    <col min="12545" max="12545" width="8" style="263" customWidth="1"/>
    <col min="12546" max="12546" width="37.875" style="263" customWidth="1"/>
    <col min="12547" max="12547" width="12.25" style="263" customWidth="1"/>
    <col min="12548" max="12548" width="13.125" style="263" customWidth="1"/>
    <col min="12549" max="12549" width="10.125" style="263" customWidth="1"/>
    <col min="12550" max="12550" width="1.625" style="263" customWidth="1"/>
    <col min="12551" max="12552" width="13" style="263" customWidth="1"/>
    <col min="12553" max="12553" width="9.875" style="263" customWidth="1"/>
    <col min="12554" max="12800" width="9" style="263"/>
    <col min="12801" max="12801" width="8" style="263" customWidth="1"/>
    <col min="12802" max="12802" width="37.875" style="263" customWidth="1"/>
    <col min="12803" max="12803" width="12.25" style="263" customWidth="1"/>
    <col min="12804" max="12804" width="13.125" style="263" customWidth="1"/>
    <col min="12805" max="12805" width="10.125" style="263" customWidth="1"/>
    <col min="12806" max="12806" width="1.625" style="263" customWidth="1"/>
    <col min="12807" max="12808" width="13" style="263" customWidth="1"/>
    <col min="12809" max="12809" width="9.875" style="263" customWidth="1"/>
    <col min="12810" max="13056" width="9" style="263"/>
    <col min="13057" max="13057" width="8" style="263" customWidth="1"/>
    <col min="13058" max="13058" width="37.875" style="263" customWidth="1"/>
    <col min="13059" max="13059" width="12.25" style="263" customWidth="1"/>
    <col min="13060" max="13060" width="13.125" style="263" customWidth="1"/>
    <col min="13061" max="13061" width="10.125" style="263" customWidth="1"/>
    <col min="13062" max="13062" width="1.625" style="263" customWidth="1"/>
    <col min="13063" max="13064" width="13" style="263" customWidth="1"/>
    <col min="13065" max="13065" width="9.875" style="263" customWidth="1"/>
    <col min="13066" max="13312" width="9" style="263"/>
    <col min="13313" max="13313" width="8" style="263" customWidth="1"/>
    <col min="13314" max="13314" width="37.875" style="263" customWidth="1"/>
    <col min="13315" max="13315" width="12.25" style="263" customWidth="1"/>
    <col min="13316" max="13316" width="13.125" style="263" customWidth="1"/>
    <col min="13317" max="13317" width="10.125" style="263" customWidth="1"/>
    <col min="13318" max="13318" width="1.625" style="263" customWidth="1"/>
    <col min="13319" max="13320" width="13" style="263" customWidth="1"/>
    <col min="13321" max="13321" width="9.875" style="263" customWidth="1"/>
    <col min="13322" max="13568" width="9" style="263"/>
    <col min="13569" max="13569" width="8" style="263" customWidth="1"/>
    <col min="13570" max="13570" width="37.875" style="263" customWidth="1"/>
    <col min="13571" max="13571" width="12.25" style="263" customWidth="1"/>
    <col min="13572" max="13572" width="13.125" style="263" customWidth="1"/>
    <col min="13573" max="13573" width="10.125" style="263" customWidth="1"/>
    <col min="13574" max="13574" width="1.625" style="263" customWidth="1"/>
    <col min="13575" max="13576" width="13" style="263" customWidth="1"/>
    <col min="13577" max="13577" width="9.875" style="263" customWidth="1"/>
    <col min="13578" max="13824" width="9" style="263"/>
    <col min="13825" max="13825" width="8" style="263" customWidth="1"/>
    <col min="13826" max="13826" width="37.875" style="263" customWidth="1"/>
    <col min="13827" max="13827" width="12.25" style="263" customWidth="1"/>
    <col min="13828" max="13828" width="13.125" style="263" customWidth="1"/>
    <col min="13829" max="13829" width="10.125" style="263" customWidth="1"/>
    <col min="13830" max="13830" width="1.625" style="263" customWidth="1"/>
    <col min="13831" max="13832" width="13" style="263" customWidth="1"/>
    <col min="13833" max="13833" width="9.875" style="263" customWidth="1"/>
    <col min="13834" max="14080" width="9" style="263"/>
    <col min="14081" max="14081" width="8" style="263" customWidth="1"/>
    <col min="14082" max="14082" width="37.875" style="263" customWidth="1"/>
    <col min="14083" max="14083" width="12.25" style="263" customWidth="1"/>
    <col min="14084" max="14084" width="13.125" style="263" customWidth="1"/>
    <col min="14085" max="14085" width="10.125" style="263" customWidth="1"/>
    <col min="14086" max="14086" width="1.625" style="263" customWidth="1"/>
    <col min="14087" max="14088" width="13" style="263" customWidth="1"/>
    <col min="14089" max="14089" width="9.875" style="263" customWidth="1"/>
    <col min="14090" max="14336" width="9" style="263"/>
    <col min="14337" max="14337" width="8" style="263" customWidth="1"/>
    <col min="14338" max="14338" width="37.875" style="263" customWidth="1"/>
    <col min="14339" max="14339" width="12.25" style="263" customWidth="1"/>
    <col min="14340" max="14340" width="13.125" style="263" customWidth="1"/>
    <col min="14341" max="14341" width="10.125" style="263" customWidth="1"/>
    <col min="14342" max="14342" width="1.625" style="263" customWidth="1"/>
    <col min="14343" max="14344" width="13" style="263" customWidth="1"/>
    <col min="14345" max="14345" width="9.875" style="263" customWidth="1"/>
    <col min="14346" max="14592" width="9" style="263"/>
    <col min="14593" max="14593" width="8" style="263" customWidth="1"/>
    <col min="14594" max="14594" width="37.875" style="263" customWidth="1"/>
    <col min="14595" max="14595" width="12.25" style="263" customWidth="1"/>
    <col min="14596" max="14596" width="13.125" style="263" customWidth="1"/>
    <col min="14597" max="14597" width="10.125" style="263" customWidth="1"/>
    <col min="14598" max="14598" width="1.625" style="263" customWidth="1"/>
    <col min="14599" max="14600" width="13" style="263" customWidth="1"/>
    <col min="14601" max="14601" width="9.875" style="263" customWidth="1"/>
    <col min="14602" max="14848" width="9" style="263"/>
    <col min="14849" max="14849" width="8" style="263" customWidth="1"/>
    <col min="14850" max="14850" width="37.875" style="263" customWidth="1"/>
    <col min="14851" max="14851" width="12.25" style="263" customWidth="1"/>
    <col min="14852" max="14852" width="13.125" style="263" customWidth="1"/>
    <col min="14853" max="14853" width="10.125" style="263" customWidth="1"/>
    <col min="14854" max="14854" width="1.625" style="263" customWidth="1"/>
    <col min="14855" max="14856" width="13" style="263" customWidth="1"/>
    <col min="14857" max="14857" width="9.875" style="263" customWidth="1"/>
    <col min="14858" max="15104" width="9" style="263"/>
    <col min="15105" max="15105" width="8" style="263" customWidth="1"/>
    <col min="15106" max="15106" width="37.875" style="263" customWidth="1"/>
    <col min="15107" max="15107" width="12.25" style="263" customWidth="1"/>
    <col min="15108" max="15108" width="13.125" style="263" customWidth="1"/>
    <col min="15109" max="15109" width="10.125" style="263" customWidth="1"/>
    <col min="15110" max="15110" width="1.625" style="263" customWidth="1"/>
    <col min="15111" max="15112" width="13" style="263" customWidth="1"/>
    <col min="15113" max="15113" width="9.875" style="263" customWidth="1"/>
    <col min="15114" max="15360" width="9" style="263"/>
    <col min="15361" max="15361" width="8" style="263" customWidth="1"/>
    <col min="15362" max="15362" width="37.875" style="263" customWidth="1"/>
    <col min="15363" max="15363" width="12.25" style="263" customWidth="1"/>
    <col min="15364" max="15364" width="13.125" style="263" customWidth="1"/>
    <col min="15365" max="15365" width="10.125" style="263" customWidth="1"/>
    <col min="15366" max="15366" width="1.625" style="263" customWidth="1"/>
    <col min="15367" max="15368" width="13" style="263" customWidth="1"/>
    <col min="15369" max="15369" width="9.875" style="263" customWidth="1"/>
    <col min="15370" max="15616" width="9" style="263"/>
    <col min="15617" max="15617" width="8" style="263" customWidth="1"/>
    <col min="15618" max="15618" width="37.875" style="263" customWidth="1"/>
    <col min="15619" max="15619" width="12.25" style="263" customWidth="1"/>
    <col min="15620" max="15620" width="13.125" style="263" customWidth="1"/>
    <col min="15621" max="15621" width="10.125" style="263" customWidth="1"/>
    <col min="15622" max="15622" width="1.625" style="263" customWidth="1"/>
    <col min="15623" max="15624" width="13" style="263" customWidth="1"/>
    <col min="15625" max="15625" width="9.875" style="263" customWidth="1"/>
    <col min="15626" max="15872" width="9" style="263"/>
    <col min="15873" max="15873" width="8" style="263" customWidth="1"/>
    <col min="15874" max="15874" width="37.875" style="263" customWidth="1"/>
    <col min="15875" max="15875" width="12.25" style="263" customWidth="1"/>
    <col min="15876" max="15876" width="13.125" style="263" customWidth="1"/>
    <col min="15877" max="15877" width="10.125" style="263" customWidth="1"/>
    <col min="15878" max="15878" width="1.625" style="263" customWidth="1"/>
    <col min="15879" max="15880" width="13" style="263" customWidth="1"/>
    <col min="15881" max="15881" width="9.875" style="263" customWidth="1"/>
    <col min="15882" max="16128" width="9" style="263"/>
    <col min="16129" max="16129" width="8" style="263" customWidth="1"/>
    <col min="16130" max="16130" width="37.875" style="263" customWidth="1"/>
    <col min="16131" max="16131" width="12.25" style="263" customWidth="1"/>
    <col min="16132" max="16132" width="13.125" style="263" customWidth="1"/>
    <col min="16133" max="16133" width="10.125" style="263" customWidth="1"/>
    <col min="16134" max="16134" width="1.625" style="263" customWidth="1"/>
    <col min="16135" max="16136" width="13" style="263" customWidth="1"/>
    <col min="16137" max="16137" width="9.875" style="263" customWidth="1"/>
    <col min="16138" max="16384" width="9" style="263"/>
  </cols>
  <sheetData>
    <row r="1" spans="1:251" ht="15" customHeight="1">
      <c r="A1" s="25"/>
      <c r="B1" s="26"/>
      <c r="C1" s="27"/>
      <c r="D1" s="27"/>
      <c r="E1" s="1086"/>
      <c r="F1" s="1086"/>
      <c r="G1" s="345" t="s">
        <v>1159</v>
      </c>
      <c r="I1" s="345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</row>
    <row r="2" spans="1:251" ht="15" customHeight="1">
      <c r="A2" s="25"/>
      <c r="B2" s="26"/>
      <c r="C2" s="27"/>
      <c r="D2" s="27"/>
      <c r="E2" s="1086"/>
      <c r="F2" s="1086"/>
      <c r="G2" s="1097" t="s">
        <v>1127</v>
      </c>
      <c r="H2" s="1098"/>
      <c r="I2" s="109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</row>
    <row r="3" spans="1:251" ht="15" customHeight="1">
      <c r="A3" s="25"/>
      <c r="B3" s="26"/>
      <c r="C3" s="27"/>
      <c r="D3" s="27"/>
      <c r="E3" s="1086"/>
      <c r="F3" s="1086"/>
      <c r="G3" s="1097" t="s">
        <v>1128</v>
      </c>
      <c r="H3" s="1098"/>
      <c r="I3" s="1098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</row>
    <row r="4" spans="1:251" ht="8.4499999999999993" customHeight="1">
      <c r="D4" s="263"/>
      <c r="E4" s="263"/>
      <c r="F4" s="346"/>
    </row>
    <row r="5" spans="1:251" s="335" customFormat="1" ht="17.45" customHeight="1">
      <c r="A5" s="1087" t="s">
        <v>578</v>
      </c>
      <c r="B5" s="1087"/>
      <c r="C5" s="1087"/>
      <c r="D5" s="1087"/>
      <c r="E5" s="1087"/>
      <c r="F5" s="1087"/>
      <c r="G5" s="1087"/>
      <c r="H5" s="1087"/>
      <c r="I5" s="1087"/>
    </row>
    <row r="6" spans="1:251" s="335" customFormat="1" ht="17.45" customHeight="1">
      <c r="A6" s="1087" t="s">
        <v>277</v>
      </c>
      <c r="B6" s="1087"/>
      <c r="C6" s="1087"/>
      <c r="D6" s="1087"/>
      <c r="E6" s="1087"/>
      <c r="F6" s="1087"/>
      <c r="G6" s="1087"/>
      <c r="H6" s="1087"/>
      <c r="I6" s="1087"/>
    </row>
    <row r="7" spans="1:251" s="335" customFormat="1" ht="6" customHeight="1">
      <c r="A7" s="1088"/>
      <c r="B7" s="1088"/>
      <c r="C7" s="1088"/>
      <c r="D7" s="1088"/>
      <c r="E7" s="1088"/>
      <c r="F7" s="1088"/>
      <c r="G7" s="347"/>
      <c r="H7" s="347"/>
      <c r="I7" s="347"/>
    </row>
    <row r="8" spans="1:251">
      <c r="A8" s="446" t="s">
        <v>579</v>
      </c>
      <c r="B8" s="446"/>
      <c r="C8" s="263"/>
      <c r="D8" s="263"/>
      <c r="E8" s="263"/>
      <c r="G8" s="824"/>
      <c r="H8" s="824"/>
      <c r="I8" s="824" t="s">
        <v>15</v>
      </c>
    </row>
    <row r="9" spans="1:251" s="826" customFormat="1" ht="12.75" customHeight="1">
      <c r="A9" s="922" t="s">
        <v>580</v>
      </c>
      <c r="B9" s="1089" t="s">
        <v>581</v>
      </c>
      <c r="C9" s="1092" t="s">
        <v>582</v>
      </c>
      <c r="D9" s="1093"/>
      <c r="E9" s="1094"/>
      <c r="F9" s="825"/>
      <c r="G9" s="922" t="s">
        <v>583</v>
      </c>
      <c r="H9" s="922"/>
      <c r="I9" s="922"/>
    </row>
    <row r="10" spans="1:251" s="826" customFormat="1">
      <c r="A10" s="922"/>
      <c r="B10" s="1090"/>
      <c r="C10" s="922" t="s">
        <v>17</v>
      </c>
      <c r="D10" s="1095" t="s">
        <v>305</v>
      </c>
      <c r="E10" s="1096"/>
      <c r="F10" s="827"/>
      <c r="G10" s="919" t="s">
        <v>17</v>
      </c>
      <c r="H10" s="918" t="s">
        <v>305</v>
      </c>
      <c r="I10" s="918"/>
    </row>
    <row r="11" spans="1:251" s="829" customFormat="1" ht="25.5">
      <c r="A11" s="922"/>
      <c r="B11" s="1091"/>
      <c r="C11" s="922"/>
      <c r="D11" s="687" t="s">
        <v>584</v>
      </c>
      <c r="E11" s="828" t="s">
        <v>585</v>
      </c>
      <c r="F11" s="827"/>
      <c r="G11" s="919"/>
      <c r="H11" s="688" t="s">
        <v>584</v>
      </c>
      <c r="I11" s="688" t="s">
        <v>585</v>
      </c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6"/>
      <c r="V11" s="826"/>
      <c r="W11" s="826"/>
      <c r="X11" s="826"/>
      <c r="Y11" s="826"/>
      <c r="Z11" s="826"/>
      <c r="AA11" s="826"/>
      <c r="AB11" s="826"/>
      <c r="AC11" s="826"/>
      <c r="AD11" s="826"/>
      <c r="AE11" s="826"/>
      <c r="AF11" s="826"/>
      <c r="AG11" s="826"/>
      <c r="AH11" s="826"/>
      <c r="AI11" s="826"/>
      <c r="AJ11" s="826"/>
      <c r="AK11" s="826"/>
      <c r="AL11" s="826"/>
      <c r="AM11" s="826"/>
      <c r="AN11" s="826"/>
      <c r="AO11" s="826"/>
      <c r="AP11" s="826"/>
      <c r="AQ11" s="826"/>
      <c r="AR11" s="826"/>
      <c r="AS11" s="826"/>
      <c r="AT11" s="826"/>
      <c r="AU11" s="826"/>
      <c r="AV11" s="826"/>
      <c r="AW11" s="826"/>
      <c r="AX11" s="826"/>
      <c r="AY11" s="826"/>
      <c r="AZ11" s="826"/>
      <c r="BA11" s="826"/>
      <c r="BB11" s="826"/>
      <c r="BC11" s="826"/>
      <c r="BD11" s="826"/>
      <c r="BE11" s="826"/>
      <c r="BF11" s="826"/>
      <c r="BG11" s="826"/>
      <c r="BH11" s="826"/>
      <c r="BI11" s="826"/>
      <c r="BJ11" s="826"/>
      <c r="BK11" s="826"/>
      <c r="BL11" s="826"/>
      <c r="BM11" s="826"/>
      <c r="BN11" s="826"/>
      <c r="BO11" s="826"/>
      <c r="BP11" s="826"/>
      <c r="BQ11" s="826"/>
      <c r="BR11" s="826"/>
      <c r="BS11" s="826"/>
      <c r="BT11" s="826"/>
      <c r="BU11" s="826"/>
      <c r="BV11" s="826"/>
      <c r="BW11" s="826"/>
      <c r="BX11" s="826"/>
      <c r="BY11" s="826"/>
      <c r="BZ11" s="826"/>
      <c r="CA11" s="826"/>
      <c r="CB11" s="826"/>
      <c r="CC11" s="826"/>
      <c r="CD11" s="826"/>
      <c r="CE11" s="826"/>
      <c r="CF11" s="826"/>
      <c r="CG11" s="826"/>
      <c r="CH11" s="826"/>
      <c r="CI11" s="826"/>
      <c r="CJ11" s="826"/>
      <c r="CK11" s="826"/>
      <c r="CL11" s="826"/>
      <c r="CM11" s="826"/>
      <c r="CN11" s="826"/>
      <c r="CO11" s="826"/>
      <c r="CP11" s="826"/>
      <c r="CQ11" s="826"/>
      <c r="CR11" s="826"/>
      <c r="CS11" s="826"/>
      <c r="CT11" s="826"/>
      <c r="CU11" s="826"/>
      <c r="CV11" s="826"/>
      <c r="CW11" s="826"/>
      <c r="CX11" s="826"/>
      <c r="CY11" s="826"/>
      <c r="CZ11" s="826"/>
      <c r="DA11" s="826"/>
      <c r="DB11" s="826"/>
      <c r="DC11" s="826"/>
      <c r="DD11" s="826"/>
      <c r="DE11" s="826"/>
      <c r="DF11" s="826"/>
      <c r="DG11" s="826"/>
      <c r="DH11" s="826"/>
      <c r="DI11" s="826"/>
      <c r="DJ11" s="826"/>
      <c r="DK11" s="826"/>
      <c r="DL11" s="826"/>
      <c r="DM11" s="826"/>
      <c r="DN11" s="826"/>
      <c r="DO11" s="826"/>
      <c r="DP11" s="826"/>
      <c r="DQ11" s="826"/>
      <c r="DR11" s="826"/>
      <c r="DS11" s="826"/>
      <c r="DT11" s="826"/>
      <c r="DU11" s="826"/>
      <c r="DV11" s="826"/>
      <c r="DW11" s="826"/>
      <c r="DX11" s="826"/>
      <c r="DY11" s="826"/>
      <c r="DZ11" s="826"/>
      <c r="EA11" s="826"/>
      <c r="EB11" s="826"/>
      <c r="EC11" s="826"/>
      <c r="ED11" s="826"/>
      <c r="EE11" s="826"/>
      <c r="EF11" s="826"/>
      <c r="EG11" s="826"/>
      <c r="EH11" s="826"/>
      <c r="EI11" s="826"/>
      <c r="EJ11" s="826"/>
      <c r="EK11" s="826"/>
      <c r="EL11" s="826"/>
      <c r="EM11" s="826"/>
      <c r="EN11" s="826"/>
      <c r="EO11" s="826"/>
      <c r="EP11" s="826"/>
      <c r="EQ11" s="826"/>
      <c r="ER11" s="826"/>
      <c r="ES11" s="826"/>
      <c r="ET11" s="826"/>
      <c r="EU11" s="826"/>
      <c r="EV11" s="826"/>
      <c r="EW11" s="826"/>
      <c r="EX11" s="826"/>
      <c r="EY11" s="826"/>
      <c r="EZ11" s="826"/>
      <c r="FA11" s="826"/>
      <c r="FB11" s="826"/>
      <c r="FC11" s="826"/>
      <c r="FD11" s="826"/>
      <c r="FE11" s="826"/>
      <c r="FF11" s="826"/>
      <c r="FG11" s="826"/>
      <c r="FH11" s="826"/>
      <c r="FI11" s="826"/>
      <c r="FJ11" s="826"/>
      <c r="FK11" s="826"/>
      <c r="FL11" s="826"/>
      <c r="FM11" s="826"/>
      <c r="FN11" s="826"/>
      <c r="FO11" s="826"/>
      <c r="FP11" s="826"/>
      <c r="FQ11" s="826"/>
      <c r="FR11" s="826"/>
      <c r="FS11" s="826"/>
      <c r="FT11" s="826"/>
      <c r="FU11" s="826"/>
      <c r="FV11" s="826"/>
      <c r="FW11" s="826"/>
      <c r="FX11" s="826"/>
      <c r="FY11" s="826"/>
      <c r="FZ11" s="826"/>
      <c r="GA11" s="826"/>
      <c r="GB11" s="826"/>
      <c r="GC11" s="826"/>
      <c r="GD11" s="826"/>
      <c r="GE11" s="826"/>
      <c r="GF11" s="826"/>
      <c r="GG11" s="826"/>
      <c r="GH11" s="826"/>
      <c r="GI11" s="826"/>
      <c r="GJ11" s="826"/>
      <c r="GK11" s="826"/>
      <c r="GL11" s="826"/>
      <c r="GM11" s="826"/>
      <c r="GN11" s="826"/>
      <c r="GO11" s="826"/>
      <c r="GP11" s="826"/>
      <c r="GQ11" s="826"/>
      <c r="GR11" s="826"/>
      <c r="GS11" s="826"/>
      <c r="GT11" s="826"/>
      <c r="GU11" s="826"/>
      <c r="GV11" s="826"/>
      <c r="GW11" s="826"/>
      <c r="GX11" s="826"/>
      <c r="GY11" s="826"/>
      <c r="GZ11" s="826"/>
      <c r="HA11" s="826"/>
      <c r="HB11" s="826"/>
      <c r="HC11" s="826"/>
      <c r="HD11" s="826"/>
      <c r="HE11" s="826"/>
      <c r="HF11" s="826"/>
      <c r="HG11" s="826"/>
      <c r="HH11" s="826"/>
      <c r="HI11" s="826"/>
      <c r="HJ11" s="826"/>
      <c r="HK11" s="826"/>
      <c r="HL11" s="826"/>
      <c r="HM11" s="826"/>
      <c r="HN11" s="826"/>
      <c r="HO11" s="826"/>
      <c r="HP11" s="826"/>
      <c r="HQ11" s="826"/>
      <c r="HR11" s="826"/>
      <c r="HS11" s="826"/>
      <c r="HT11" s="826"/>
      <c r="HU11" s="826"/>
      <c r="HV11" s="826"/>
      <c r="HW11" s="826"/>
      <c r="HX11" s="826"/>
      <c r="HY11" s="826"/>
      <c r="HZ11" s="826"/>
      <c r="IA11" s="826"/>
      <c r="IB11" s="826"/>
      <c r="IC11" s="826"/>
      <c r="ID11" s="826"/>
      <c r="IE11" s="826"/>
      <c r="IF11" s="826"/>
      <c r="IG11" s="826"/>
      <c r="IH11" s="826"/>
      <c r="II11" s="826"/>
      <c r="IJ11" s="826"/>
      <c r="IK11" s="826"/>
      <c r="IL11" s="826"/>
      <c r="IM11" s="826"/>
      <c r="IN11" s="826"/>
      <c r="IO11" s="826"/>
      <c r="IP11" s="826"/>
      <c r="IQ11" s="826"/>
    </row>
    <row r="12" spans="1:251">
      <c r="A12" s="348">
        <v>1</v>
      </c>
      <c r="B12" s="348">
        <v>2</v>
      </c>
      <c r="C12" s="349">
        <v>3</v>
      </c>
      <c r="D12" s="349" t="s">
        <v>586</v>
      </c>
      <c r="E12" s="350" t="s">
        <v>587</v>
      </c>
      <c r="F12" s="351"/>
      <c r="G12" s="349">
        <v>4</v>
      </c>
      <c r="H12" s="349" t="s">
        <v>588</v>
      </c>
      <c r="I12" s="349" t="s">
        <v>589</v>
      </c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  <c r="GA12" s="267"/>
      <c r="GB12" s="267"/>
      <c r="GC12" s="267"/>
      <c r="GD12" s="267"/>
      <c r="GE12" s="267"/>
      <c r="GF12" s="267"/>
      <c r="GG12" s="267"/>
      <c r="GH12" s="267"/>
      <c r="GI12" s="267"/>
      <c r="GJ12" s="267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  <c r="IH12" s="267"/>
      <c r="II12" s="267"/>
      <c r="IJ12" s="267"/>
      <c r="IK12" s="267"/>
      <c r="IL12" s="267"/>
      <c r="IM12" s="267"/>
      <c r="IN12" s="267"/>
      <c r="IO12" s="267"/>
      <c r="IP12" s="267"/>
      <c r="IQ12" s="267"/>
    </row>
    <row r="13" spans="1:251" s="277" customFormat="1" ht="9.9499999999999993" customHeight="1">
      <c r="A13" s="352"/>
      <c r="B13" s="353"/>
      <c r="C13" s="354"/>
      <c r="D13" s="354"/>
      <c r="E13" s="355"/>
      <c r="F13" s="351"/>
      <c r="G13" s="356"/>
      <c r="H13" s="356"/>
      <c r="I13" s="356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/>
      <c r="GT13" s="263"/>
      <c r="GU13" s="263"/>
      <c r="GV13" s="263"/>
      <c r="GW13" s="263"/>
      <c r="GX13" s="263"/>
      <c r="GY13" s="263"/>
      <c r="GZ13" s="263"/>
      <c r="HA13" s="263"/>
      <c r="HB13" s="263"/>
      <c r="HC13" s="263"/>
      <c r="HD13" s="263"/>
      <c r="HE13" s="263"/>
      <c r="HF13" s="263"/>
      <c r="HG13" s="263"/>
      <c r="HH13" s="263"/>
      <c r="HI13" s="263"/>
      <c r="HJ13" s="263"/>
      <c r="HK13" s="263"/>
      <c r="HL13" s="263"/>
      <c r="HM13" s="263"/>
      <c r="HN13" s="263"/>
      <c r="HO13" s="263"/>
      <c r="HP13" s="263"/>
      <c r="HQ13" s="263"/>
      <c r="HR13" s="263"/>
      <c r="HS13" s="263"/>
      <c r="HT13" s="263"/>
      <c r="HU13" s="263"/>
      <c r="HV13" s="263"/>
      <c r="HW13" s="263"/>
      <c r="HX13" s="263"/>
      <c r="HY13" s="263"/>
      <c r="HZ13" s="263"/>
      <c r="IA13" s="263"/>
      <c r="IB13" s="263"/>
      <c r="IC13" s="263"/>
      <c r="ID13" s="263"/>
      <c r="IE13" s="263"/>
      <c r="IF13" s="263"/>
      <c r="IG13" s="263"/>
      <c r="IH13" s="263"/>
      <c r="II13" s="263"/>
      <c r="IJ13" s="263"/>
      <c r="IK13" s="263"/>
      <c r="IL13" s="263"/>
      <c r="IM13" s="263"/>
      <c r="IN13" s="263"/>
      <c r="IO13" s="263"/>
      <c r="IP13" s="263"/>
      <c r="IQ13" s="263"/>
    </row>
    <row r="14" spans="1:251" ht="15.75">
      <c r="A14" s="357"/>
      <c r="B14" s="358" t="s">
        <v>316</v>
      </c>
      <c r="C14" s="359">
        <f>C26+C36+C56+C66+C84+C96+C106+C124+C136+C154+C16</f>
        <v>74283950</v>
      </c>
      <c r="D14" s="359">
        <f>D26+D36+D56+D66+D84+D96+D106+D124+D136+D154+D16</f>
        <v>74081000</v>
      </c>
      <c r="E14" s="359">
        <f>E26+E36+E56+E66+E84+E96+E106+E124+E136+E154+E16</f>
        <v>202950</v>
      </c>
      <c r="F14" s="360"/>
      <c r="G14" s="359">
        <f>G26+G36+G56+G66+G84+G96+G106+G124+G136+G154+G16</f>
        <v>74283950</v>
      </c>
      <c r="H14" s="359">
        <f>H26+H36+H56+H66+H84+H96+H106+H124+H136+H154+H16</f>
        <v>74081000</v>
      </c>
      <c r="I14" s="359">
        <f>I26+I36+I56+I66+I84+I96+I106+I124+I136+I154+I16</f>
        <v>202950</v>
      </c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  <c r="EV14" s="277"/>
      <c r="EW14" s="277"/>
      <c r="EX14" s="277"/>
      <c r="EY14" s="277"/>
      <c r="EZ14" s="277"/>
      <c r="FA14" s="277"/>
      <c r="FB14" s="277"/>
      <c r="FC14" s="277"/>
      <c r="FD14" s="277"/>
      <c r="FE14" s="277"/>
      <c r="FF14" s="277"/>
      <c r="FG14" s="277"/>
      <c r="FH14" s="277"/>
      <c r="FI14" s="277"/>
      <c r="FJ14" s="277"/>
      <c r="FK14" s="277"/>
      <c r="FL14" s="277"/>
      <c r="FM14" s="277"/>
      <c r="FN14" s="277"/>
      <c r="FO14" s="277"/>
      <c r="FP14" s="277"/>
      <c r="FQ14" s="277"/>
      <c r="FR14" s="277"/>
      <c r="FS14" s="277"/>
      <c r="FT14" s="277"/>
      <c r="FU14" s="277"/>
      <c r="FV14" s="277"/>
      <c r="FW14" s="277"/>
      <c r="FX14" s="277"/>
      <c r="FY14" s="277"/>
      <c r="FZ14" s="277"/>
      <c r="GA14" s="277"/>
      <c r="GB14" s="277"/>
      <c r="GC14" s="277"/>
      <c r="GD14" s="277"/>
      <c r="GE14" s="277"/>
      <c r="GF14" s="277"/>
      <c r="GG14" s="277"/>
      <c r="GH14" s="277"/>
      <c r="GI14" s="277"/>
      <c r="GJ14" s="277"/>
      <c r="GK14" s="277"/>
      <c r="GL14" s="277"/>
      <c r="GM14" s="277"/>
      <c r="GN14" s="277"/>
      <c r="GO14" s="277"/>
      <c r="GP14" s="277"/>
      <c r="GQ14" s="277"/>
      <c r="GR14" s="277"/>
      <c r="GS14" s="277"/>
      <c r="GT14" s="277"/>
      <c r="GU14" s="277"/>
      <c r="GV14" s="277"/>
      <c r="GW14" s="277"/>
      <c r="GX14" s="277"/>
      <c r="GY14" s="277"/>
      <c r="GZ14" s="277"/>
      <c r="HA14" s="277"/>
      <c r="HB14" s="277"/>
      <c r="HC14" s="277"/>
      <c r="HD14" s="277"/>
      <c r="HE14" s="277"/>
      <c r="HF14" s="277"/>
      <c r="HG14" s="277"/>
      <c r="HH14" s="277"/>
      <c r="HI14" s="277"/>
      <c r="HJ14" s="277"/>
      <c r="HK14" s="277"/>
      <c r="HL14" s="277"/>
      <c r="HM14" s="277"/>
      <c r="HN14" s="277"/>
      <c r="HO14" s="277"/>
      <c r="HP14" s="277"/>
      <c r="HQ14" s="277"/>
      <c r="HR14" s="277"/>
      <c r="HS14" s="277"/>
      <c r="HT14" s="277"/>
      <c r="HU14" s="277"/>
      <c r="HV14" s="277"/>
      <c r="HW14" s="277"/>
      <c r="HX14" s="277"/>
      <c r="HY14" s="277"/>
      <c r="HZ14" s="277"/>
      <c r="IA14" s="277"/>
      <c r="IB14" s="277"/>
      <c r="IC14" s="277"/>
      <c r="ID14" s="277"/>
      <c r="IE14" s="277"/>
      <c r="IF14" s="277"/>
      <c r="IG14" s="277"/>
      <c r="IH14" s="277"/>
      <c r="II14" s="277"/>
      <c r="IJ14" s="277"/>
      <c r="IK14" s="277"/>
      <c r="IL14" s="277"/>
      <c r="IM14" s="277"/>
      <c r="IN14" s="277"/>
      <c r="IO14" s="277"/>
      <c r="IP14" s="277"/>
      <c r="IQ14" s="277"/>
    </row>
    <row r="15" spans="1:251" ht="9.9499999999999993" customHeight="1">
      <c r="A15" s="357"/>
      <c r="B15" s="358"/>
      <c r="C15" s="359"/>
      <c r="D15" s="359"/>
      <c r="E15" s="361"/>
      <c r="F15" s="360"/>
      <c r="G15" s="359"/>
      <c r="H15" s="359"/>
      <c r="I15" s="359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7"/>
      <c r="FF15" s="277"/>
      <c r="FG15" s="277"/>
      <c r="FH15" s="277"/>
      <c r="FI15" s="277"/>
      <c r="FJ15" s="277"/>
      <c r="FK15" s="277"/>
      <c r="FL15" s="277"/>
      <c r="FM15" s="277"/>
      <c r="FN15" s="277"/>
      <c r="FO15" s="277"/>
      <c r="FP15" s="277"/>
      <c r="FQ15" s="277"/>
      <c r="FR15" s="277"/>
      <c r="FS15" s="277"/>
      <c r="FT15" s="277"/>
      <c r="FU15" s="277"/>
      <c r="FV15" s="277"/>
      <c r="FW15" s="277"/>
      <c r="FX15" s="277"/>
      <c r="FY15" s="277"/>
      <c r="FZ15" s="277"/>
      <c r="GA15" s="277"/>
      <c r="GB15" s="277"/>
      <c r="GC15" s="277"/>
      <c r="GD15" s="277"/>
      <c r="GE15" s="277"/>
      <c r="GF15" s="277"/>
      <c r="GG15" s="277"/>
      <c r="GH15" s="277"/>
      <c r="GI15" s="277"/>
      <c r="GJ15" s="277"/>
      <c r="GK15" s="277"/>
      <c r="GL15" s="277"/>
      <c r="GM15" s="277"/>
      <c r="GN15" s="277"/>
      <c r="GO15" s="277"/>
      <c r="GP15" s="277"/>
      <c r="GQ15" s="277"/>
      <c r="GR15" s="277"/>
      <c r="GS15" s="277"/>
      <c r="GT15" s="277"/>
      <c r="GU15" s="277"/>
      <c r="GV15" s="277"/>
      <c r="GW15" s="277"/>
      <c r="GX15" s="277"/>
      <c r="GY15" s="277"/>
      <c r="GZ15" s="277"/>
      <c r="HA15" s="277"/>
      <c r="HB15" s="277"/>
      <c r="HC15" s="277"/>
      <c r="HD15" s="277"/>
      <c r="HE15" s="277"/>
      <c r="HF15" s="277"/>
      <c r="HG15" s="277"/>
      <c r="HH15" s="277"/>
      <c r="HI15" s="277"/>
      <c r="HJ15" s="277"/>
      <c r="HK15" s="277"/>
      <c r="HL15" s="277"/>
      <c r="HM15" s="277"/>
      <c r="HN15" s="277"/>
      <c r="HO15" s="277"/>
      <c r="HP15" s="277"/>
      <c r="HQ15" s="277"/>
      <c r="HR15" s="277"/>
      <c r="HS15" s="277"/>
      <c r="HT15" s="277"/>
      <c r="HU15" s="277"/>
      <c r="HV15" s="277"/>
      <c r="HW15" s="277"/>
      <c r="HX15" s="277"/>
      <c r="HY15" s="277"/>
      <c r="HZ15" s="277"/>
      <c r="IA15" s="277"/>
      <c r="IB15" s="277"/>
      <c r="IC15" s="277"/>
      <c r="ID15" s="277"/>
      <c r="IE15" s="277"/>
      <c r="IF15" s="277"/>
      <c r="IG15" s="277"/>
      <c r="IH15" s="277"/>
      <c r="II15" s="277"/>
      <c r="IJ15" s="277"/>
      <c r="IK15" s="277"/>
      <c r="IL15" s="277"/>
      <c r="IM15" s="277"/>
      <c r="IN15" s="277"/>
      <c r="IO15" s="277"/>
      <c r="IP15" s="277"/>
      <c r="IQ15" s="277"/>
    </row>
    <row r="16" spans="1:251" ht="15">
      <c r="A16" s="280" t="s">
        <v>61</v>
      </c>
      <c r="B16" s="362" t="s">
        <v>62</v>
      </c>
      <c r="C16" s="283">
        <f>C18</f>
        <v>50000</v>
      </c>
      <c r="D16" s="283">
        <f>D18</f>
        <v>50000</v>
      </c>
      <c r="E16" s="363">
        <f>E18</f>
        <v>0</v>
      </c>
      <c r="F16" s="360"/>
      <c r="G16" s="283">
        <f>G18</f>
        <v>50000</v>
      </c>
      <c r="H16" s="283">
        <f>H18</f>
        <v>50000</v>
      </c>
      <c r="I16" s="283">
        <f>I18</f>
        <v>0</v>
      </c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285"/>
      <c r="EC16" s="285"/>
      <c r="ED16" s="285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85"/>
      <c r="FC16" s="285"/>
      <c r="FD16" s="285"/>
      <c r="FE16" s="285"/>
      <c r="FF16" s="285"/>
      <c r="FG16" s="285"/>
      <c r="FH16" s="285"/>
      <c r="FI16" s="285"/>
      <c r="FJ16" s="285"/>
      <c r="FK16" s="285"/>
      <c r="FL16" s="285"/>
      <c r="FM16" s="285"/>
      <c r="FN16" s="285"/>
      <c r="FO16" s="285"/>
      <c r="FP16" s="285"/>
      <c r="FQ16" s="285"/>
      <c r="FR16" s="285"/>
      <c r="FS16" s="285"/>
      <c r="FT16" s="285"/>
      <c r="FU16" s="285"/>
      <c r="FV16" s="285"/>
      <c r="FW16" s="285"/>
      <c r="FX16" s="285"/>
      <c r="FY16" s="285"/>
      <c r="FZ16" s="285"/>
      <c r="GA16" s="285"/>
      <c r="GB16" s="285"/>
      <c r="GC16" s="285"/>
      <c r="GD16" s="285"/>
      <c r="GE16" s="285"/>
      <c r="GF16" s="285"/>
      <c r="GG16" s="285"/>
      <c r="GH16" s="285"/>
      <c r="GI16" s="285"/>
      <c r="GJ16" s="285"/>
      <c r="GK16" s="285"/>
      <c r="GL16" s="285"/>
      <c r="GM16" s="285"/>
      <c r="GN16" s="285"/>
      <c r="GO16" s="285"/>
      <c r="GP16" s="285"/>
      <c r="GQ16" s="285"/>
      <c r="GR16" s="285"/>
      <c r="GS16" s="285"/>
      <c r="GT16" s="285"/>
      <c r="GU16" s="285"/>
      <c r="GV16" s="285"/>
      <c r="GW16" s="285"/>
      <c r="GX16" s="285"/>
      <c r="GY16" s="285"/>
      <c r="GZ16" s="285"/>
      <c r="HA16" s="285"/>
      <c r="HB16" s="285"/>
      <c r="HC16" s="285"/>
      <c r="HD16" s="285"/>
      <c r="HE16" s="285"/>
      <c r="HF16" s="285"/>
      <c r="HG16" s="285"/>
      <c r="HH16" s="285"/>
      <c r="HI16" s="285"/>
      <c r="HJ16" s="285"/>
      <c r="HK16" s="285"/>
      <c r="HL16" s="285"/>
      <c r="HM16" s="285"/>
      <c r="HN16" s="285"/>
      <c r="HO16" s="285"/>
      <c r="HP16" s="285"/>
      <c r="HQ16" s="285"/>
      <c r="HR16" s="285"/>
      <c r="HS16" s="285"/>
      <c r="HT16" s="285"/>
      <c r="HU16" s="285"/>
      <c r="HV16" s="285"/>
      <c r="HW16" s="285"/>
      <c r="HX16" s="285"/>
      <c r="HY16" s="285"/>
      <c r="HZ16" s="285"/>
      <c r="IA16" s="285"/>
      <c r="IB16" s="285"/>
      <c r="IC16" s="285"/>
      <c r="ID16" s="285"/>
      <c r="IE16" s="285"/>
      <c r="IF16" s="285"/>
      <c r="IG16" s="285"/>
      <c r="IH16" s="285"/>
      <c r="II16" s="285"/>
      <c r="IJ16" s="285"/>
      <c r="IK16" s="285"/>
      <c r="IL16" s="285"/>
      <c r="IM16" s="285"/>
      <c r="IN16" s="285"/>
      <c r="IO16" s="285"/>
      <c r="IP16" s="285"/>
      <c r="IQ16" s="285"/>
    </row>
    <row r="17" spans="1:251" ht="9.9499999999999993" customHeight="1">
      <c r="A17" s="364"/>
      <c r="B17" s="365"/>
      <c r="C17" s="366"/>
      <c r="D17" s="366"/>
      <c r="E17" s="367"/>
      <c r="F17" s="368"/>
      <c r="G17" s="356"/>
      <c r="H17" s="356"/>
      <c r="I17" s="356"/>
    </row>
    <row r="18" spans="1:251" ht="25.5">
      <c r="A18" s="369" t="s">
        <v>290</v>
      </c>
      <c r="B18" s="370" t="s">
        <v>291</v>
      </c>
      <c r="C18" s="371">
        <f>C20</f>
        <v>50000</v>
      </c>
      <c r="D18" s="371">
        <f>D20</f>
        <v>50000</v>
      </c>
      <c r="E18" s="372">
        <f>E20</f>
        <v>0</v>
      </c>
      <c r="F18" s="368"/>
      <c r="G18" s="371">
        <f>G20</f>
        <v>50000</v>
      </c>
      <c r="H18" s="371">
        <f>H20</f>
        <v>50000</v>
      </c>
      <c r="I18" s="371">
        <f>I20</f>
        <v>0</v>
      </c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  <c r="BM18" s="373"/>
      <c r="BN18" s="373"/>
      <c r="BO18" s="373"/>
      <c r="BP18" s="373"/>
      <c r="BQ18" s="373"/>
      <c r="BR18" s="373"/>
      <c r="BS18" s="373"/>
      <c r="BT18" s="373"/>
      <c r="BU18" s="373"/>
      <c r="BV18" s="373"/>
      <c r="BW18" s="373"/>
      <c r="BX18" s="373"/>
      <c r="BY18" s="373"/>
      <c r="BZ18" s="373"/>
      <c r="CA18" s="373"/>
      <c r="CB18" s="373"/>
      <c r="CC18" s="373"/>
      <c r="CD18" s="373"/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3"/>
      <c r="CS18" s="373"/>
      <c r="CT18" s="373"/>
      <c r="CU18" s="373"/>
      <c r="CV18" s="373"/>
      <c r="CW18" s="373"/>
      <c r="CX18" s="373"/>
      <c r="CY18" s="373"/>
      <c r="CZ18" s="373"/>
      <c r="DA18" s="373"/>
      <c r="DB18" s="373"/>
      <c r="DC18" s="373"/>
      <c r="DD18" s="373"/>
      <c r="DE18" s="373"/>
      <c r="DF18" s="373"/>
      <c r="DG18" s="373"/>
      <c r="DH18" s="373"/>
      <c r="DI18" s="373"/>
      <c r="DJ18" s="373"/>
      <c r="DK18" s="373"/>
      <c r="DL18" s="373"/>
      <c r="DM18" s="373"/>
      <c r="DN18" s="373"/>
      <c r="DO18" s="373"/>
      <c r="DP18" s="373"/>
      <c r="DQ18" s="373"/>
      <c r="DR18" s="373"/>
      <c r="DS18" s="373"/>
      <c r="DT18" s="373"/>
      <c r="DU18" s="373"/>
      <c r="DV18" s="373"/>
      <c r="DW18" s="373"/>
      <c r="DX18" s="373"/>
      <c r="DY18" s="373"/>
      <c r="DZ18" s="373"/>
      <c r="EA18" s="373"/>
      <c r="EB18" s="373"/>
      <c r="EC18" s="373"/>
      <c r="ED18" s="373"/>
      <c r="EE18" s="373"/>
      <c r="EF18" s="373"/>
      <c r="EG18" s="373"/>
      <c r="EH18" s="373"/>
      <c r="EI18" s="373"/>
      <c r="EJ18" s="373"/>
      <c r="EK18" s="373"/>
      <c r="EL18" s="373"/>
      <c r="EM18" s="373"/>
      <c r="EN18" s="373"/>
      <c r="EO18" s="373"/>
      <c r="EP18" s="373"/>
      <c r="EQ18" s="373"/>
      <c r="ER18" s="373"/>
      <c r="ES18" s="373"/>
      <c r="ET18" s="373"/>
      <c r="EU18" s="373"/>
      <c r="EV18" s="373"/>
      <c r="EW18" s="373"/>
      <c r="EX18" s="373"/>
      <c r="EY18" s="373"/>
      <c r="EZ18" s="373"/>
      <c r="FA18" s="373"/>
      <c r="FB18" s="373"/>
      <c r="FC18" s="373"/>
      <c r="FD18" s="373"/>
      <c r="FE18" s="373"/>
      <c r="FF18" s="373"/>
      <c r="FG18" s="373"/>
      <c r="FH18" s="373"/>
      <c r="FI18" s="373"/>
      <c r="FJ18" s="373"/>
      <c r="FK18" s="373"/>
      <c r="FL18" s="373"/>
      <c r="FM18" s="373"/>
      <c r="FN18" s="373"/>
      <c r="FO18" s="373"/>
      <c r="FP18" s="373"/>
      <c r="FQ18" s="373"/>
      <c r="FR18" s="373"/>
      <c r="FS18" s="373"/>
      <c r="FT18" s="373"/>
      <c r="FU18" s="373"/>
      <c r="FV18" s="373"/>
      <c r="FW18" s="373"/>
      <c r="FX18" s="373"/>
      <c r="FY18" s="373"/>
      <c r="FZ18" s="373"/>
      <c r="GA18" s="373"/>
      <c r="GB18" s="373"/>
      <c r="GC18" s="373"/>
      <c r="GD18" s="373"/>
      <c r="GE18" s="373"/>
      <c r="GF18" s="373"/>
      <c r="GG18" s="373"/>
      <c r="GH18" s="373"/>
      <c r="GI18" s="373"/>
      <c r="GJ18" s="373"/>
      <c r="GK18" s="373"/>
      <c r="GL18" s="373"/>
      <c r="GM18" s="373"/>
      <c r="GN18" s="373"/>
      <c r="GO18" s="373"/>
      <c r="GP18" s="373"/>
      <c r="GQ18" s="373"/>
      <c r="GR18" s="373"/>
      <c r="GS18" s="373"/>
      <c r="GT18" s="373"/>
      <c r="GU18" s="373"/>
      <c r="GV18" s="373"/>
      <c r="GW18" s="373"/>
      <c r="GX18" s="373"/>
      <c r="GY18" s="373"/>
      <c r="GZ18" s="373"/>
      <c r="HA18" s="373"/>
      <c r="HB18" s="373"/>
      <c r="HC18" s="373"/>
      <c r="HD18" s="373"/>
      <c r="HE18" s="373"/>
      <c r="HF18" s="373"/>
      <c r="HG18" s="373"/>
      <c r="HH18" s="373"/>
      <c r="HI18" s="373"/>
      <c r="HJ18" s="373"/>
      <c r="HK18" s="373"/>
      <c r="HL18" s="373"/>
      <c r="HM18" s="373"/>
      <c r="HN18" s="373"/>
      <c r="HO18" s="373"/>
      <c r="HP18" s="373"/>
      <c r="HQ18" s="373"/>
      <c r="HR18" s="373"/>
      <c r="HS18" s="373"/>
      <c r="HT18" s="373"/>
      <c r="HU18" s="373"/>
      <c r="HV18" s="373"/>
      <c r="HW18" s="373"/>
      <c r="HX18" s="373"/>
      <c r="HY18" s="373"/>
      <c r="HZ18" s="373"/>
      <c r="IA18" s="373"/>
      <c r="IB18" s="373"/>
      <c r="IC18" s="373"/>
      <c r="ID18" s="373"/>
      <c r="IE18" s="373"/>
      <c r="IF18" s="373"/>
      <c r="IG18" s="373"/>
      <c r="IH18" s="373"/>
      <c r="II18" s="373"/>
      <c r="IJ18" s="373"/>
      <c r="IK18" s="373"/>
      <c r="IL18" s="373"/>
      <c r="IM18" s="373"/>
      <c r="IN18" s="373"/>
      <c r="IO18" s="373"/>
      <c r="IP18" s="373"/>
      <c r="IQ18" s="373"/>
    </row>
    <row r="19" spans="1:251" s="377" customFormat="1" ht="9.9499999999999993" customHeight="1">
      <c r="A19" s="374"/>
      <c r="B19" s="375"/>
      <c r="C19" s="356"/>
      <c r="D19" s="356"/>
      <c r="E19" s="376"/>
      <c r="F19" s="368"/>
      <c r="G19" s="356"/>
      <c r="H19" s="356"/>
      <c r="I19" s="356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/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3"/>
      <c r="GS19" s="263"/>
      <c r="GT19" s="263"/>
      <c r="GU19" s="263"/>
      <c r="GV19" s="263"/>
      <c r="GW19" s="263"/>
      <c r="GX19" s="263"/>
      <c r="GY19" s="263"/>
      <c r="GZ19" s="263"/>
      <c r="HA19" s="263"/>
      <c r="HB19" s="263"/>
      <c r="HC19" s="263"/>
      <c r="HD19" s="263"/>
      <c r="HE19" s="263"/>
      <c r="HF19" s="263"/>
      <c r="HG19" s="263"/>
      <c r="HH19" s="263"/>
      <c r="HI19" s="263"/>
      <c r="HJ19" s="263"/>
      <c r="HK19" s="263"/>
      <c r="HL19" s="263"/>
      <c r="HM19" s="263"/>
      <c r="HN19" s="263"/>
      <c r="HO19" s="263"/>
      <c r="HP19" s="263"/>
      <c r="HQ19" s="263"/>
      <c r="HR19" s="263"/>
      <c r="HS19" s="263"/>
      <c r="HT19" s="263"/>
      <c r="HU19" s="263"/>
      <c r="HV19" s="263"/>
      <c r="HW19" s="263"/>
      <c r="HX19" s="263"/>
      <c r="HY19" s="263"/>
      <c r="HZ19" s="263"/>
      <c r="IA19" s="263"/>
      <c r="IB19" s="263"/>
      <c r="IC19" s="263"/>
      <c r="ID19" s="263"/>
      <c r="IE19" s="263"/>
      <c r="IF19" s="263"/>
      <c r="IG19" s="263"/>
      <c r="IH19" s="263"/>
      <c r="II19" s="263"/>
      <c r="IJ19" s="263"/>
      <c r="IK19" s="263"/>
      <c r="IL19" s="263"/>
      <c r="IM19" s="263"/>
      <c r="IN19" s="263"/>
      <c r="IO19" s="263"/>
      <c r="IP19" s="263"/>
      <c r="IQ19" s="263"/>
    </row>
    <row r="20" spans="1:251" s="373" customFormat="1" ht="28.9" customHeight="1">
      <c r="A20" s="1099" t="s">
        <v>590</v>
      </c>
      <c r="B20" s="1099"/>
      <c r="C20" s="378">
        <f>C22</f>
        <v>50000</v>
      </c>
      <c r="D20" s="378">
        <f>D22</f>
        <v>50000</v>
      </c>
      <c r="E20" s="379">
        <f>E22</f>
        <v>0</v>
      </c>
      <c r="F20" s="368"/>
      <c r="G20" s="378">
        <f>G24</f>
        <v>50000</v>
      </c>
      <c r="H20" s="378">
        <f>H24</f>
        <v>50000</v>
      </c>
      <c r="I20" s="378">
        <f>I24</f>
        <v>0</v>
      </c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  <c r="AW20" s="377"/>
      <c r="AX20" s="377"/>
      <c r="AY20" s="377"/>
      <c r="AZ20" s="377"/>
      <c r="BA20" s="377"/>
      <c r="BB20" s="377"/>
      <c r="BC20" s="377"/>
      <c r="BD20" s="377"/>
      <c r="BE20" s="377"/>
      <c r="BF20" s="377"/>
      <c r="BG20" s="377"/>
      <c r="BH20" s="377"/>
      <c r="BI20" s="377"/>
      <c r="BJ20" s="377"/>
      <c r="BK20" s="377"/>
      <c r="BL20" s="377"/>
      <c r="BM20" s="377"/>
      <c r="BN20" s="377"/>
      <c r="BO20" s="377"/>
      <c r="BP20" s="377"/>
      <c r="BQ20" s="377"/>
      <c r="BR20" s="377"/>
      <c r="BS20" s="377"/>
      <c r="BT20" s="377"/>
      <c r="BU20" s="377"/>
      <c r="BV20" s="377"/>
      <c r="BW20" s="377"/>
      <c r="BX20" s="377"/>
      <c r="BY20" s="377"/>
      <c r="BZ20" s="377"/>
      <c r="CA20" s="377"/>
      <c r="CB20" s="377"/>
      <c r="CC20" s="377"/>
      <c r="CD20" s="377"/>
      <c r="CE20" s="377"/>
      <c r="CF20" s="377"/>
      <c r="CG20" s="377"/>
      <c r="CH20" s="377"/>
      <c r="CI20" s="377"/>
      <c r="CJ20" s="377"/>
      <c r="CK20" s="377"/>
      <c r="CL20" s="377"/>
      <c r="CM20" s="377"/>
      <c r="CN20" s="377"/>
      <c r="CO20" s="377"/>
      <c r="CP20" s="377"/>
      <c r="CQ20" s="377"/>
      <c r="CR20" s="377"/>
      <c r="CS20" s="377"/>
      <c r="CT20" s="377"/>
      <c r="CU20" s="377"/>
      <c r="CV20" s="377"/>
      <c r="CW20" s="377"/>
      <c r="CX20" s="377"/>
      <c r="CY20" s="377"/>
      <c r="CZ20" s="377"/>
      <c r="DA20" s="377"/>
      <c r="DB20" s="377"/>
      <c r="DC20" s="377"/>
      <c r="DD20" s="377"/>
      <c r="DE20" s="377"/>
      <c r="DF20" s="377"/>
      <c r="DG20" s="377"/>
      <c r="DH20" s="377"/>
      <c r="DI20" s="377"/>
      <c r="DJ20" s="377"/>
      <c r="DK20" s="377"/>
      <c r="DL20" s="377"/>
      <c r="DM20" s="377"/>
      <c r="DN20" s="377"/>
      <c r="DO20" s="377"/>
      <c r="DP20" s="377"/>
      <c r="DQ20" s="377"/>
      <c r="DR20" s="377"/>
      <c r="DS20" s="377"/>
      <c r="DT20" s="377"/>
      <c r="DU20" s="377"/>
      <c r="DV20" s="377"/>
      <c r="DW20" s="377"/>
      <c r="DX20" s="377"/>
      <c r="DY20" s="377"/>
      <c r="DZ20" s="377"/>
      <c r="EA20" s="377"/>
      <c r="EB20" s="377"/>
      <c r="EC20" s="377"/>
      <c r="ED20" s="377"/>
      <c r="EE20" s="377"/>
      <c r="EF20" s="377"/>
      <c r="EG20" s="377"/>
      <c r="EH20" s="377"/>
      <c r="EI20" s="377"/>
      <c r="EJ20" s="377"/>
      <c r="EK20" s="377"/>
      <c r="EL20" s="377"/>
      <c r="EM20" s="377"/>
      <c r="EN20" s="377"/>
      <c r="EO20" s="377"/>
      <c r="EP20" s="377"/>
      <c r="EQ20" s="377"/>
      <c r="ER20" s="377"/>
      <c r="ES20" s="377"/>
      <c r="ET20" s="377"/>
      <c r="EU20" s="377"/>
      <c r="EV20" s="377"/>
      <c r="EW20" s="377"/>
      <c r="EX20" s="377"/>
      <c r="EY20" s="377"/>
      <c r="EZ20" s="377"/>
      <c r="FA20" s="377"/>
      <c r="FB20" s="377"/>
      <c r="FC20" s="377"/>
      <c r="FD20" s="377"/>
      <c r="FE20" s="377"/>
      <c r="FF20" s="377"/>
      <c r="FG20" s="377"/>
      <c r="FH20" s="377"/>
      <c r="FI20" s="377"/>
      <c r="FJ20" s="377"/>
      <c r="FK20" s="377"/>
      <c r="FL20" s="377"/>
      <c r="FM20" s="377"/>
      <c r="FN20" s="377"/>
      <c r="FO20" s="377"/>
      <c r="FP20" s="377"/>
      <c r="FQ20" s="377"/>
      <c r="FR20" s="377"/>
      <c r="FS20" s="377"/>
      <c r="FT20" s="377"/>
      <c r="FU20" s="377"/>
      <c r="FV20" s="377"/>
      <c r="FW20" s="377"/>
      <c r="FX20" s="377"/>
      <c r="FY20" s="377"/>
      <c r="FZ20" s="377"/>
      <c r="GA20" s="377"/>
      <c r="GB20" s="377"/>
      <c r="GC20" s="377"/>
      <c r="GD20" s="377"/>
      <c r="GE20" s="377"/>
      <c r="GF20" s="377"/>
      <c r="GG20" s="377"/>
      <c r="GH20" s="377"/>
      <c r="GI20" s="377"/>
      <c r="GJ20" s="377"/>
      <c r="GK20" s="377"/>
      <c r="GL20" s="377"/>
      <c r="GM20" s="377"/>
      <c r="GN20" s="377"/>
      <c r="GO20" s="377"/>
      <c r="GP20" s="377"/>
      <c r="GQ20" s="377"/>
      <c r="GR20" s="377"/>
      <c r="GS20" s="377"/>
      <c r="GT20" s="377"/>
      <c r="GU20" s="377"/>
      <c r="GV20" s="377"/>
      <c r="GW20" s="377"/>
      <c r="GX20" s="377"/>
      <c r="GY20" s="377"/>
      <c r="GZ20" s="377"/>
      <c r="HA20" s="377"/>
      <c r="HB20" s="377"/>
      <c r="HC20" s="377"/>
      <c r="HD20" s="377"/>
      <c r="HE20" s="377"/>
      <c r="HF20" s="377"/>
      <c r="HG20" s="377"/>
      <c r="HH20" s="377"/>
      <c r="HI20" s="377"/>
      <c r="HJ20" s="377"/>
      <c r="HK20" s="377"/>
      <c r="HL20" s="377"/>
      <c r="HM20" s="377"/>
      <c r="HN20" s="377"/>
      <c r="HO20" s="377"/>
      <c r="HP20" s="377"/>
      <c r="HQ20" s="377"/>
      <c r="HR20" s="377"/>
      <c r="HS20" s="377"/>
      <c r="HT20" s="377"/>
      <c r="HU20" s="377"/>
      <c r="HV20" s="377"/>
      <c r="HW20" s="377"/>
      <c r="HX20" s="377"/>
      <c r="HY20" s="377"/>
      <c r="HZ20" s="377"/>
      <c r="IA20" s="377"/>
      <c r="IB20" s="377"/>
      <c r="IC20" s="377"/>
      <c r="ID20" s="377"/>
      <c r="IE20" s="377"/>
      <c r="IF20" s="377"/>
      <c r="IG20" s="377"/>
      <c r="IH20" s="377"/>
      <c r="II20" s="377"/>
      <c r="IJ20" s="377"/>
      <c r="IK20" s="377"/>
      <c r="IL20" s="377"/>
      <c r="IM20" s="377"/>
      <c r="IN20" s="377"/>
      <c r="IO20" s="377"/>
      <c r="IP20" s="377"/>
      <c r="IQ20" s="377"/>
    </row>
    <row r="21" spans="1:251" ht="9.9499999999999993" customHeight="1">
      <c r="A21" s="380"/>
      <c r="B21" s="380"/>
      <c r="C21" s="381"/>
      <c r="D21" s="381"/>
      <c r="E21" s="382"/>
      <c r="F21" s="368"/>
      <c r="G21" s="381"/>
      <c r="H21" s="381"/>
      <c r="I21" s="381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383"/>
      <c r="BU21" s="383"/>
      <c r="BV21" s="383"/>
      <c r="BW21" s="383"/>
      <c r="BX21" s="383"/>
      <c r="BY21" s="383"/>
      <c r="BZ21" s="383"/>
      <c r="CA21" s="383"/>
      <c r="CB21" s="383"/>
      <c r="CC21" s="383"/>
      <c r="CD21" s="383"/>
      <c r="CE21" s="383"/>
      <c r="CF21" s="383"/>
      <c r="CG21" s="383"/>
      <c r="CH21" s="383"/>
      <c r="CI21" s="383"/>
      <c r="CJ21" s="383"/>
      <c r="CK21" s="383"/>
      <c r="CL21" s="383"/>
      <c r="CM21" s="383"/>
      <c r="CN21" s="383"/>
      <c r="CO21" s="383"/>
      <c r="CP21" s="383"/>
      <c r="CQ21" s="383"/>
      <c r="CR21" s="383"/>
      <c r="CS21" s="383"/>
      <c r="CT21" s="383"/>
      <c r="CU21" s="383"/>
      <c r="CV21" s="383"/>
      <c r="CW21" s="383"/>
      <c r="CX21" s="383"/>
      <c r="CY21" s="383"/>
      <c r="CZ21" s="383"/>
      <c r="DA21" s="383"/>
      <c r="DB21" s="383"/>
      <c r="DC21" s="383"/>
      <c r="DD21" s="383"/>
      <c r="DE21" s="383"/>
      <c r="DF21" s="383"/>
      <c r="DG21" s="383"/>
      <c r="DH21" s="383"/>
      <c r="DI21" s="383"/>
      <c r="DJ21" s="383"/>
      <c r="DK21" s="383"/>
      <c r="DL21" s="383"/>
      <c r="DM21" s="383"/>
      <c r="DN21" s="383"/>
      <c r="DO21" s="383"/>
      <c r="DP21" s="383"/>
      <c r="DQ21" s="383"/>
      <c r="DR21" s="383"/>
      <c r="DS21" s="383"/>
      <c r="DT21" s="383"/>
      <c r="DU21" s="383"/>
      <c r="DV21" s="383"/>
      <c r="DW21" s="383"/>
      <c r="DX21" s="383"/>
      <c r="DY21" s="383"/>
      <c r="DZ21" s="383"/>
      <c r="EA21" s="383"/>
      <c r="EB21" s="383"/>
      <c r="EC21" s="383"/>
      <c r="ED21" s="383"/>
      <c r="EE21" s="383"/>
      <c r="EF21" s="383"/>
      <c r="EG21" s="383"/>
      <c r="EH21" s="383"/>
      <c r="EI21" s="383"/>
      <c r="EJ21" s="383"/>
      <c r="EK21" s="383"/>
      <c r="EL21" s="383"/>
      <c r="EM21" s="383"/>
      <c r="EN21" s="383"/>
      <c r="EO21" s="383"/>
      <c r="EP21" s="383"/>
      <c r="EQ21" s="383"/>
      <c r="ER21" s="383"/>
      <c r="ES21" s="383"/>
      <c r="ET21" s="383"/>
      <c r="EU21" s="383"/>
      <c r="EV21" s="383"/>
      <c r="EW21" s="383"/>
      <c r="EX21" s="383"/>
      <c r="EY21" s="383"/>
      <c r="EZ21" s="383"/>
      <c r="FA21" s="383"/>
      <c r="FB21" s="383"/>
      <c r="FC21" s="383"/>
      <c r="FD21" s="383"/>
      <c r="FE21" s="383"/>
      <c r="FF21" s="383"/>
      <c r="FG21" s="383"/>
      <c r="FH21" s="383"/>
      <c r="FI21" s="383"/>
      <c r="FJ21" s="383"/>
      <c r="FK21" s="383"/>
      <c r="FL21" s="383"/>
      <c r="FM21" s="383"/>
      <c r="FN21" s="383"/>
      <c r="FO21" s="383"/>
      <c r="FP21" s="383"/>
      <c r="FQ21" s="383"/>
      <c r="FR21" s="383"/>
      <c r="FS21" s="383"/>
      <c r="FT21" s="383"/>
      <c r="FU21" s="383"/>
      <c r="FV21" s="383"/>
      <c r="FW21" s="383"/>
      <c r="FX21" s="383"/>
      <c r="FY21" s="383"/>
      <c r="FZ21" s="383"/>
      <c r="GA21" s="383"/>
      <c r="GB21" s="383"/>
      <c r="GC21" s="383"/>
      <c r="GD21" s="383"/>
      <c r="GE21" s="383"/>
      <c r="GF21" s="383"/>
      <c r="GG21" s="383"/>
      <c r="GH21" s="383"/>
      <c r="GI21" s="383"/>
      <c r="GJ21" s="383"/>
      <c r="GK21" s="383"/>
      <c r="GL21" s="383"/>
      <c r="GM21" s="383"/>
      <c r="GN21" s="383"/>
      <c r="GO21" s="383"/>
      <c r="GP21" s="383"/>
      <c r="GQ21" s="383"/>
      <c r="GR21" s="383"/>
      <c r="GS21" s="383"/>
      <c r="GT21" s="383"/>
      <c r="GU21" s="383"/>
      <c r="GV21" s="383"/>
      <c r="GW21" s="383"/>
      <c r="GX21" s="383"/>
      <c r="GY21" s="383"/>
      <c r="GZ21" s="383"/>
      <c r="HA21" s="383"/>
      <c r="HB21" s="383"/>
      <c r="HC21" s="383"/>
      <c r="HD21" s="383"/>
      <c r="HE21" s="383"/>
      <c r="HF21" s="383"/>
      <c r="HG21" s="383"/>
      <c r="HH21" s="383"/>
      <c r="HI21" s="383"/>
      <c r="HJ21" s="383"/>
      <c r="HK21" s="383"/>
      <c r="HL21" s="383"/>
      <c r="HM21" s="383"/>
      <c r="HN21" s="383"/>
      <c r="HO21" s="383"/>
      <c r="HP21" s="383"/>
      <c r="HQ21" s="383"/>
      <c r="HR21" s="383"/>
      <c r="HS21" s="383"/>
      <c r="HT21" s="383"/>
      <c r="HU21" s="383"/>
      <c r="HV21" s="383"/>
      <c r="HW21" s="383"/>
      <c r="HX21" s="383"/>
      <c r="HY21" s="383"/>
      <c r="HZ21" s="383"/>
      <c r="IA21" s="383"/>
      <c r="IB21" s="383"/>
      <c r="IC21" s="383"/>
      <c r="ID21" s="383"/>
      <c r="IE21" s="383"/>
      <c r="IF21" s="383"/>
      <c r="IG21" s="383"/>
      <c r="IH21" s="383"/>
      <c r="II21" s="383"/>
      <c r="IJ21" s="383"/>
      <c r="IK21" s="383"/>
      <c r="IL21" s="383"/>
      <c r="IM21" s="383"/>
      <c r="IN21" s="383"/>
      <c r="IO21" s="383"/>
      <c r="IP21" s="383"/>
      <c r="IQ21" s="383"/>
    </row>
    <row r="22" spans="1:251">
      <c r="A22" s="384"/>
      <c r="B22" s="385" t="s">
        <v>591</v>
      </c>
      <c r="C22" s="356">
        <f>D22+E22</f>
        <v>50000</v>
      </c>
      <c r="D22" s="356">
        <v>50000</v>
      </c>
      <c r="E22" s="376">
        <v>0</v>
      </c>
      <c r="F22" s="368"/>
      <c r="G22" s="386" t="s">
        <v>421</v>
      </c>
      <c r="H22" s="386" t="s">
        <v>421</v>
      </c>
      <c r="I22" s="386" t="s">
        <v>421</v>
      </c>
    </row>
    <row r="23" spans="1:251" ht="9.9499999999999993" customHeight="1">
      <c r="A23" s="384"/>
      <c r="B23" s="385"/>
      <c r="C23" s="356"/>
      <c r="D23" s="356"/>
      <c r="E23" s="356"/>
      <c r="F23" s="368"/>
      <c r="G23" s="356"/>
      <c r="H23" s="356"/>
      <c r="I23" s="356"/>
    </row>
    <row r="24" spans="1:251">
      <c r="A24" s="384"/>
      <c r="B24" s="387" t="s">
        <v>592</v>
      </c>
      <c r="C24" s="386" t="s">
        <v>421</v>
      </c>
      <c r="D24" s="386" t="s">
        <v>421</v>
      </c>
      <c r="E24" s="386" t="s">
        <v>421</v>
      </c>
      <c r="F24" s="368"/>
      <c r="G24" s="356">
        <f>H24+I24</f>
        <v>50000</v>
      </c>
      <c r="H24" s="356">
        <v>50000</v>
      </c>
      <c r="I24" s="356">
        <v>0</v>
      </c>
    </row>
    <row r="25" spans="1:251" s="373" customFormat="1" ht="9.9499999999999993" customHeight="1">
      <c r="A25" s="388"/>
      <c r="B25" s="389"/>
      <c r="C25" s="356"/>
      <c r="D25" s="356"/>
      <c r="E25" s="356"/>
      <c r="F25" s="368"/>
      <c r="G25" s="356"/>
      <c r="H25" s="356"/>
      <c r="I25" s="356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/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/>
      <c r="EU25" s="263"/>
      <c r="EV25" s="263"/>
      <c r="EW25" s="263"/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  <c r="FH25" s="263"/>
      <c r="FI25" s="263"/>
      <c r="FJ25" s="263"/>
      <c r="FK25" s="263"/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/>
      <c r="GC25" s="263"/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3"/>
      <c r="GS25" s="263"/>
      <c r="GT25" s="263"/>
      <c r="GU25" s="263"/>
      <c r="GV25" s="263"/>
      <c r="GW25" s="263"/>
      <c r="GX25" s="263"/>
      <c r="GY25" s="263"/>
      <c r="GZ25" s="263"/>
      <c r="HA25" s="263"/>
      <c r="HB25" s="263"/>
      <c r="HC25" s="263"/>
      <c r="HD25" s="263"/>
      <c r="HE25" s="263"/>
      <c r="HF25" s="263"/>
      <c r="HG25" s="263"/>
      <c r="HH25" s="263"/>
      <c r="HI25" s="263"/>
      <c r="HJ25" s="263"/>
      <c r="HK25" s="263"/>
      <c r="HL25" s="263"/>
      <c r="HM25" s="263"/>
      <c r="HN25" s="263"/>
      <c r="HO25" s="263"/>
      <c r="HP25" s="263"/>
      <c r="HQ25" s="263"/>
      <c r="HR25" s="263"/>
      <c r="HS25" s="263"/>
      <c r="HT25" s="263"/>
      <c r="HU25" s="263"/>
      <c r="HV25" s="263"/>
      <c r="HW25" s="263"/>
      <c r="HX25" s="263"/>
      <c r="HY25" s="263"/>
      <c r="HZ25" s="263"/>
      <c r="IA25" s="263"/>
      <c r="IB25" s="263"/>
      <c r="IC25" s="263"/>
      <c r="ID25" s="263"/>
      <c r="IE25" s="263"/>
      <c r="IF25" s="263"/>
      <c r="IG25" s="263"/>
      <c r="IH25" s="263"/>
      <c r="II25" s="263"/>
      <c r="IJ25" s="263"/>
      <c r="IK25" s="263"/>
      <c r="IL25" s="263"/>
      <c r="IM25" s="263"/>
      <c r="IN25" s="263"/>
      <c r="IO25" s="263"/>
      <c r="IP25" s="263"/>
      <c r="IQ25" s="263"/>
    </row>
    <row r="26" spans="1:251" ht="15">
      <c r="A26" s="280" t="s">
        <v>21</v>
      </c>
      <c r="B26" s="362" t="s">
        <v>22</v>
      </c>
      <c r="C26" s="283">
        <f>C28</f>
        <v>89000</v>
      </c>
      <c r="D26" s="283">
        <f>D28</f>
        <v>89000</v>
      </c>
      <c r="E26" s="363">
        <f>E28</f>
        <v>0</v>
      </c>
      <c r="F26" s="360"/>
      <c r="G26" s="283">
        <f>G28</f>
        <v>89000</v>
      </c>
      <c r="H26" s="283">
        <f>H28</f>
        <v>89000</v>
      </c>
      <c r="I26" s="283">
        <f>I28</f>
        <v>0</v>
      </c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285"/>
      <c r="DE26" s="285"/>
      <c r="DF26" s="285"/>
      <c r="DG26" s="285"/>
      <c r="DH26" s="285"/>
      <c r="DI26" s="285"/>
      <c r="DJ26" s="285"/>
      <c r="DK26" s="285"/>
      <c r="DL26" s="285"/>
      <c r="DM26" s="285"/>
      <c r="DN26" s="285"/>
      <c r="DO26" s="285"/>
      <c r="DP26" s="285"/>
      <c r="DQ26" s="285"/>
      <c r="DR26" s="285"/>
      <c r="DS26" s="285"/>
      <c r="DT26" s="285"/>
      <c r="DU26" s="285"/>
      <c r="DV26" s="285"/>
      <c r="DW26" s="285"/>
      <c r="DX26" s="285"/>
      <c r="DY26" s="285"/>
      <c r="DZ26" s="285"/>
      <c r="EA26" s="285"/>
      <c r="EB26" s="285"/>
      <c r="EC26" s="285"/>
      <c r="ED26" s="285"/>
      <c r="EE26" s="285"/>
      <c r="EF26" s="285"/>
      <c r="EG26" s="285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285"/>
      <c r="ES26" s="285"/>
      <c r="ET26" s="285"/>
      <c r="EU26" s="285"/>
      <c r="EV26" s="285"/>
      <c r="EW26" s="285"/>
      <c r="EX26" s="285"/>
      <c r="EY26" s="285"/>
      <c r="EZ26" s="285"/>
      <c r="FA26" s="285"/>
      <c r="FB26" s="285"/>
      <c r="FC26" s="285"/>
      <c r="FD26" s="285"/>
      <c r="FE26" s="285"/>
      <c r="FF26" s="285"/>
      <c r="FG26" s="285"/>
      <c r="FH26" s="285"/>
      <c r="FI26" s="285"/>
      <c r="FJ26" s="285"/>
      <c r="FK26" s="285"/>
      <c r="FL26" s="285"/>
      <c r="FM26" s="285"/>
      <c r="FN26" s="285"/>
      <c r="FO26" s="285"/>
      <c r="FP26" s="285"/>
      <c r="FQ26" s="285"/>
      <c r="FR26" s="285"/>
      <c r="FS26" s="285"/>
      <c r="FT26" s="285"/>
      <c r="FU26" s="285"/>
      <c r="FV26" s="285"/>
      <c r="FW26" s="285"/>
      <c r="FX26" s="285"/>
      <c r="FY26" s="285"/>
      <c r="FZ26" s="285"/>
      <c r="GA26" s="285"/>
      <c r="GB26" s="285"/>
      <c r="GC26" s="285"/>
      <c r="GD26" s="285"/>
      <c r="GE26" s="285"/>
      <c r="GF26" s="285"/>
      <c r="GG26" s="285"/>
      <c r="GH26" s="285"/>
      <c r="GI26" s="285"/>
      <c r="GJ26" s="285"/>
      <c r="GK26" s="285"/>
      <c r="GL26" s="285"/>
      <c r="GM26" s="285"/>
      <c r="GN26" s="285"/>
      <c r="GO26" s="285"/>
      <c r="GP26" s="285"/>
      <c r="GQ26" s="285"/>
      <c r="GR26" s="285"/>
      <c r="GS26" s="285"/>
      <c r="GT26" s="285"/>
      <c r="GU26" s="285"/>
      <c r="GV26" s="285"/>
      <c r="GW26" s="285"/>
      <c r="GX26" s="285"/>
      <c r="GY26" s="285"/>
      <c r="GZ26" s="285"/>
      <c r="HA26" s="285"/>
      <c r="HB26" s="285"/>
      <c r="HC26" s="285"/>
      <c r="HD26" s="285"/>
      <c r="HE26" s="285"/>
      <c r="HF26" s="285"/>
      <c r="HG26" s="285"/>
      <c r="HH26" s="285"/>
      <c r="HI26" s="285"/>
      <c r="HJ26" s="285"/>
      <c r="HK26" s="285"/>
      <c r="HL26" s="285"/>
      <c r="HM26" s="285"/>
      <c r="HN26" s="285"/>
      <c r="HO26" s="285"/>
      <c r="HP26" s="285"/>
      <c r="HQ26" s="285"/>
      <c r="HR26" s="285"/>
      <c r="HS26" s="285"/>
      <c r="HT26" s="285"/>
      <c r="HU26" s="285"/>
      <c r="HV26" s="285"/>
      <c r="HW26" s="285"/>
      <c r="HX26" s="285"/>
      <c r="HY26" s="285"/>
      <c r="HZ26" s="285"/>
      <c r="IA26" s="285"/>
      <c r="IB26" s="285"/>
      <c r="IC26" s="285"/>
      <c r="ID26" s="285"/>
      <c r="IE26" s="285"/>
      <c r="IF26" s="285"/>
      <c r="IG26" s="285"/>
      <c r="IH26" s="285"/>
      <c r="II26" s="285"/>
      <c r="IJ26" s="285"/>
      <c r="IK26" s="285"/>
      <c r="IL26" s="285"/>
      <c r="IM26" s="285"/>
      <c r="IN26" s="285"/>
      <c r="IO26" s="285"/>
      <c r="IP26" s="285"/>
      <c r="IQ26" s="285"/>
    </row>
    <row r="27" spans="1:251" ht="9.9499999999999993" customHeight="1">
      <c r="A27" s="364"/>
      <c r="B27" s="365"/>
      <c r="C27" s="366"/>
      <c r="D27" s="366"/>
      <c r="E27" s="367"/>
      <c r="F27" s="368"/>
      <c r="G27" s="356"/>
      <c r="H27" s="356"/>
      <c r="I27" s="356"/>
    </row>
    <row r="28" spans="1:251">
      <c r="A28" s="369" t="s">
        <v>60</v>
      </c>
      <c r="B28" s="370" t="s">
        <v>46</v>
      </c>
      <c r="C28" s="371">
        <f>C30</f>
        <v>89000</v>
      </c>
      <c r="D28" s="371">
        <f>D30</f>
        <v>89000</v>
      </c>
      <c r="E28" s="372">
        <f>E30</f>
        <v>0</v>
      </c>
      <c r="F28" s="368"/>
      <c r="G28" s="371">
        <f>G30</f>
        <v>89000</v>
      </c>
      <c r="H28" s="371">
        <f>H30</f>
        <v>89000</v>
      </c>
      <c r="I28" s="371">
        <f>I30</f>
        <v>0</v>
      </c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3"/>
      <c r="BG28" s="373"/>
      <c r="BH28" s="373"/>
      <c r="BI28" s="373"/>
      <c r="BJ28" s="373"/>
      <c r="BK28" s="373"/>
      <c r="BL28" s="373"/>
      <c r="BM28" s="373"/>
      <c r="BN28" s="373"/>
      <c r="BO28" s="373"/>
      <c r="BP28" s="373"/>
      <c r="BQ28" s="373"/>
      <c r="BR28" s="373"/>
      <c r="BS28" s="373"/>
      <c r="BT28" s="373"/>
      <c r="BU28" s="373"/>
      <c r="BV28" s="373"/>
      <c r="BW28" s="373"/>
      <c r="BX28" s="373"/>
      <c r="BY28" s="373"/>
      <c r="BZ28" s="373"/>
      <c r="CA28" s="373"/>
      <c r="CB28" s="373"/>
      <c r="CC28" s="373"/>
      <c r="CD28" s="373"/>
      <c r="CE28" s="373"/>
      <c r="CF28" s="373"/>
      <c r="CG28" s="373"/>
      <c r="CH28" s="373"/>
      <c r="CI28" s="373"/>
      <c r="CJ28" s="373"/>
      <c r="CK28" s="373"/>
      <c r="CL28" s="373"/>
      <c r="CM28" s="373"/>
      <c r="CN28" s="373"/>
      <c r="CO28" s="373"/>
      <c r="CP28" s="373"/>
      <c r="CQ28" s="373"/>
      <c r="CR28" s="373"/>
      <c r="CS28" s="373"/>
      <c r="CT28" s="373"/>
      <c r="CU28" s="373"/>
      <c r="CV28" s="373"/>
      <c r="CW28" s="373"/>
      <c r="CX28" s="373"/>
      <c r="CY28" s="373"/>
      <c r="CZ28" s="373"/>
      <c r="DA28" s="373"/>
      <c r="DB28" s="373"/>
      <c r="DC28" s="373"/>
      <c r="DD28" s="373"/>
      <c r="DE28" s="373"/>
      <c r="DF28" s="373"/>
      <c r="DG28" s="373"/>
      <c r="DH28" s="373"/>
      <c r="DI28" s="373"/>
      <c r="DJ28" s="373"/>
      <c r="DK28" s="373"/>
      <c r="DL28" s="373"/>
      <c r="DM28" s="373"/>
      <c r="DN28" s="373"/>
      <c r="DO28" s="373"/>
      <c r="DP28" s="373"/>
      <c r="DQ28" s="373"/>
      <c r="DR28" s="373"/>
      <c r="DS28" s="373"/>
      <c r="DT28" s="373"/>
      <c r="DU28" s="373"/>
      <c r="DV28" s="373"/>
      <c r="DW28" s="373"/>
      <c r="DX28" s="373"/>
      <c r="DY28" s="373"/>
      <c r="DZ28" s="373"/>
      <c r="EA28" s="373"/>
      <c r="EB28" s="373"/>
      <c r="EC28" s="373"/>
      <c r="ED28" s="373"/>
      <c r="EE28" s="373"/>
      <c r="EF28" s="373"/>
      <c r="EG28" s="373"/>
      <c r="EH28" s="373"/>
      <c r="EI28" s="373"/>
      <c r="EJ28" s="373"/>
      <c r="EK28" s="373"/>
      <c r="EL28" s="373"/>
      <c r="EM28" s="373"/>
      <c r="EN28" s="373"/>
      <c r="EO28" s="373"/>
      <c r="EP28" s="373"/>
      <c r="EQ28" s="373"/>
      <c r="ER28" s="373"/>
      <c r="ES28" s="373"/>
      <c r="ET28" s="373"/>
      <c r="EU28" s="373"/>
      <c r="EV28" s="373"/>
      <c r="EW28" s="373"/>
      <c r="EX28" s="373"/>
      <c r="EY28" s="373"/>
      <c r="EZ28" s="373"/>
      <c r="FA28" s="373"/>
      <c r="FB28" s="373"/>
      <c r="FC28" s="373"/>
      <c r="FD28" s="373"/>
      <c r="FE28" s="373"/>
      <c r="FF28" s="373"/>
      <c r="FG28" s="373"/>
      <c r="FH28" s="373"/>
      <c r="FI28" s="373"/>
      <c r="FJ28" s="373"/>
      <c r="FK28" s="373"/>
      <c r="FL28" s="373"/>
      <c r="FM28" s="373"/>
      <c r="FN28" s="373"/>
      <c r="FO28" s="373"/>
      <c r="FP28" s="373"/>
      <c r="FQ28" s="373"/>
      <c r="FR28" s="373"/>
      <c r="FS28" s="373"/>
      <c r="FT28" s="373"/>
      <c r="FU28" s="373"/>
      <c r="FV28" s="373"/>
      <c r="FW28" s="373"/>
      <c r="FX28" s="373"/>
      <c r="FY28" s="373"/>
      <c r="FZ28" s="373"/>
      <c r="GA28" s="373"/>
      <c r="GB28" s="373"/>
      <c r="GC28" s="373"/>
      <c r="GD28" s="373"/>
      <c r="GE28" s="373"/>
      <c r="GF28" s="373"/>
      <c r="GG28" s="373"/>
      <c r="GH28" s="373"/>
      <c r="GI28" s="373"/>
      <c r="GJ28" s="373"/>
      <c r="GK28" s="373"/>
      <c r="GL28" s="373"/>
      <c r="GM28" s="373"/>
      <c r="GN28" s="373"/>
      <c r="GO28" s="373"/>
      <c r="GP28" s="373"/>
      <c r="GQ28" s="373"/>
      <c r="GR28" s="373"/>
      <c r="GS28" s="373"/>
      <c r="GT28" s="373"/>
      <c r="GU28" s="373"/>
      <c r="GV28" s="373"/>
      <c r="GW28" s="373"/>
      <c r="GX28" s="373"/>
      <c r="GY28" s="373"/>
      <c r="GZ28" s="373"/>
      <c r="HA28" s="373"/>
      <c r="HB28" s="373"/>
      <c r="HC28" s="373"/>
      <c r="HD28" s="373"/>
      <c r="HE28" s="373"/>
      <c r="HF28" s="373"/>
      <c r="HG28" s="373"/>
      <c r="HH28" s="373"/>
      <c r="HI28" s="373"/>
      <c r="HJ28" s="373"/>
      <c r="HK28" s="373"/>
      <c r="HL28" s="373"/>
      <c r="HM28" s="373"/>
      <c r="HN28" s="373"/>
      <c r="HO28" s="373"/>
      <c r="HP28" s="373"/>
      <c r="HQ28" s="373"/>
      <c r="HR28" s="373"/>
      <c r="HS28" s="373"/>
      <c r="HT28" s="373"/>
      <c r="HU28" s="373"/>
      <c r="HV28" s="373"/>
      <c r="HW28" s="373"/>
      <c r="HX28" s="373"/>
      <c r="HY28" s="373"/>
      <c r="HZ28" s="373"/>
      <c r="IA28" s="373"/>
      <c r="IB28" s="373"/>
      <c r="IC28" s="373"/>
      <c r="ID28" s="373"/>
      <c r="IE28" s="373"/>
      <c r="IF28" s="373"/>
      <c r="IG28" s="373"/>
      <c r="IH28" s="373"/>
      <c r="II28" s="373"/>
      <c r="IJ28" s="373"/>
      <c r="IK28" s="373"/>
      <c r="IL28" s="373"/>
      <c r="IM28" s="373"/>
      <c r="IN28" s="373"/>
      <c r="IO28" s="373"/>
      <c r="IP28" s="373"/>
      <c r="IQ28" s="373"/>
    </row>
    <row r="29" spans="1:251" s="377" customFormat="1" ht="9.9499999999999993" customHeight="1">
      <c r="A29" s="374"/>
      <c r="B29" s="375"/>
      <c r="C29" s="356"/>
      <c r="D29" s="356"/>
      <c r="E29" s="376"/>
      <c r="F29" s="368"/>
      <c r="G29" s="356"/>
      <c r="H29" s="356"/>
      <c r="I29" s="356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/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/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/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3"/>
      <c r="GS29" s="263"/>
      <c r="GT29" s="263"/>
      <c r="GU29" s="263"/>
      <c r="GV29" s="263"/>
      <c r="GW29" s="263"/>
      <c r="GX29" s="263"/>
      <c r="GY29" s="263"/>
      <c r="GZ29" s="263"/>
      <c r="HA29" s="263"/>
      <c r="HB29" s="263"/>
      <c r="HC29" s="263"/>
      <c r="HD29" s="263"/>
      <c r="HE29" s="263"/>
      <c r="HF29" s="263"/>
      <c r="HG29" s="263"/>
      <c r="HH29" s="263"/>
      <c r="HI29" s="263"/>
      <c r="HJ29" s="263"/>
      <c r="HK29" s="263"/>
      <c r="HL29" s="263"/>
      <c r="HM29" s="263"/>
      <c r="HN29" s="263"/>
      <c r="HO29" s="263"/>
      <c r="HP29" s="263"/>
      <c r="HQ29" s="263"/>
      <c r="HR29" s="263"/>
      <c r="HS29" s="263"/>
      <c r="HT29" s="263"/>
      <c r="HU29" s="263"/>
      <c r="HV29" s="263"/>
      <c r="HW29" s="263"/>
      <c r="HX29" s="263"/>
      <c r="HY29" s="263"/>
      <c r="HZ29" s="263"/>
      <c r="IA29" s="263"/>
      <c r="IB29" s="263"/>
      <c r="IC29" s="263"/>
      <c r="ID29" s="263"/>
      <c r="IE29" s="263"/>
      <c r="IF29" s="263"/>
      <c r="IG29" s="263"/>
      <c r="IH29" s="263"/>
      <c r="II29" s="263"/>
      <c r="IJ29" s="263"/>
      <c r="IK29" s="263"/>
      <c r="IL29" s="263"/>
      <c r="IM29" s="263"/>
      <c r="IN29" s="263"/>
      <c r="IO29" s="263"/>
      <c r="IP29" s="263"/>
      <c r="IQ29" s="263"/>
    </row>
    <row r="30" spans="1:251" s="373" customFormat="1">
      <c r="A30" s="1099" t="s">
        <v>593</v>
      </c>
      <c r="B30" s="1099"/>
      <c r="C30" s="378">
        <f>C32</f>
        <v>89000</v>
      </c>
      <c r="D30" s="378">
        <f>D32</f>
        <v>89000</v>
      </c>
      <c r="E30" s="379">
        <f>E32</f>
        <v>0</v>
      </c>
      <c r="F30" s="368"/>
      <c r="G30" s="378">
        <f>G34</f>
        <v>89000</v>
      </c>
      <c r="H30" s="378">
        <f>H34</f>
        <v>89000</v>
      </c>
      <c r="I30" s="378">
        <f>I34</f>
        <v>0</v>
      </c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7"/>
      <c r="AZ30" s="377"/>
      <c r="BA30" s="377"/>
      <c r="BB30" s="377"/>
      <c r="BC30" s="377"/>
      <c r="BD30" s="377"/>
      <c r="BE30" s="377"/>
      <c r="BF30" s="377"/>
      <c r="BG30" s="377"/>
      <c r="BH30" s="377"/>
      <c r="BI30" s="377"/>
      <c r="BJ30" s="377"/>
      <c r="BK30" s="377"/>
      <c r="BL30" s="377"/>
      <c r="BM30" s="377"/>
      <c r="BN30" s="377"/>
      <c r="BO30" s="377"/>
      <c r="BP30" s="377"/>
      <c r="BQ30" s="377"/>
      <c r="BR30" s="377"/>
      <c r="BS30" s="377"/>
      <c r="BT30" s="377"/>
      <c r="BU30" s="377"/>
      <c r="BV30" s="377"/>
      <c r="BW30" s="377"/>
      <c r="BX30" s="377"/>
      <c r="BY30" s="377"/>
      <c r="BZ30" s="377"/>
      <c r="CA30" s="377"/>
      <c r="CB30" s="377"/>
      <c r="CC30" s="377"/>
      <c r="CD30" s="377"/>
      <c r="CE30" s="377"/>
      <c r="CF30" s="377"/>
      <c r="CG30" s="377"/>
      <c r="CH30" s="377"/>
      <c r="CI30" s="377"/>
      <c r="CJ30" s="377"/>
      <c r="CK30" s="377"/>
      <c r="CL30" s="377"/>
      <c r="CM30" s="377"/>
      <c r="CN30" s="377"/>
      <c r="CO30" s="377"/>
      <c r="CP30" s="377"/>
      <c r="CQ30" s="377"/>
      <c r="CR30" s="377"/>
      <c r="CS30" s="377"/>
      <c r="CT30" s="377"/>
      <c r="CU30" s="377"/>
      <c r="CV30" s="377"/>
      <c r="CW30" s="377"/>
      <c r="CX30" s="377"/>
      <c r="CY30" s="377"/>
      <c r="CZ30" s="377"/>
      <c r="DA30" s="377"/>
      <c r="DB30" s="377"/>
      <c r="DC30" s="377"/>
      <c r="DD30" s="377"/>
      <c r="DE30" s="377"/>
      <c r="DF30" s="377"/>
      <c r="DG30" s="377"/>
      <c r="DH30" s="377"/>
      <c r="DI30" s="377"/>
      <c r="DJ30" s="377"/>
      <c r="DK30" s="377"/>
      <c r="DL30" s="377"/>
      <c r="DM30" s="377"/>
      <c r="DN30" s="377"/>
      <c r="DO30" s="377"/>
      <c r="DP30" s="377"/>
      <c r="DQ30" s="377"/>
      <c r="DR30" s="377"/>
      <c r="DS30" s="377"/>
      <c r="DT30" s="377"/>
      <c r="DU30" s="377"/>
      <c r="DV30" s="377"/>
      <c r="DW30" s="377"/>
      <c r="DX30" s="377"/>
      <c r="DY30" s="377"/>
      <c r="DZ30" s="377"/>
      <c r="EA30" s="377"/>
      <c r="EB30" s="377"/>
      <c r="EC30" s="377"/>
      <c r="ED30" s="377"/>
      <c r="EE30" s="377"/>
      <c r="EF30" s="377"/>
      <c r="EG30" s="377"/>
      <c r="EH30" s="377"/>
      <c r="EI30" s="377"/>
      <c r="EJ30" s="377"/>
      <c r="EK30" s="377"/>
      <c r="EL30" s="377"/>
      <c r="EM30" s="377"/>
      <c r="EN30" s="377"/>
      <c r="EO30" s="377"/>
      <c r="EP30" s="377"/>
      <c r="EQ30" s="377"/>
      <c r="ER30" s="377"/>
      <c r="ES30" s="377"/>
      <c r="ET30" s="377"/>
      <c r="EU30" s="377"/>
      <c r="EV30" s="377"/>
      <c r="EW30" s="377"/>
      <c r="EX30" s="377"/>
      <c r="EY30" s="377"/>
      <c r="EZ30" s="377"/>
      <c r="FA30" s="377"/>
      <c r="FB30" s="377"/>
      <c r="FC30" s="377"/>
      <c r="FD30" s="377"/>
      <c r="FE30" s="377"/>
      <c r="FF30" s="377"/>
      <c r="FG30" s="377"/>
      <c r="FH30" s="377"/>
      <c r="FI30" s="377"/>
      <c r="FJ30" s="377"/>
      <c r="FK30" s="377"/>
      <c r="FL30" s="377"/>
      <c r="FM30" s="377"/>
      <c r="FN30" s="377"/>
      <c r="FO30" s="377"/>
      <c r="FP30" s="377"/>
      <c r="FQ30" s="377"/>
      <c r="FR30" s="377"/>
      <c r="FS30" s="377"/>
      <c r="FT30" s="377"/>
      <c r="FU30" s="377"/>
      <c r="FV30" s="377"/>
      <c r="FW30" s="377"/>
      <c r="FX30" s="377"/>
      <c r="FY30" s="377"/>
      <c r="FZ30" s="377"/>
      <c r="GA30" s="377"/>
      <c r="GB30" s="377"/>
      <c r="GC30" s="377"/>
      <c r="GD30" s="377"/>
      <c r="GE30" s="377"/>
      <c r="GF30" s="377"/>
      <c r="GG30" s="377"/>
      <c r="GH30" s="377"/>
      <c r="GI30" s="377"/>
      <c r="GJ30" s="377"/>
      <c r="GK30" s="377"/>
      <c r="GL30" s="377"/>
      <c r="GM30" s="377"/>
      <c r="GN30" s="377"/>
      <c r="GO30" s="377"/>
      <c r="GP30" s="377"/>
      <c r="GQ30" s="377"/>
      <c r="GR30" s="377"/>
      <c r="GS30" s="377"/>
      <c r="GT30" s="377"/>
      <c r="GU30" s="377"/>
      <c r="GV30" s="377"/>
      <c r="GW30" s="377"/>
      <c r="GX30" s="377"/>
      <c r="GY30" s="377"/>
      <c r="GZ30" s="377"/>
      <c r="HA30" s="377"/>
      <c r="HB30" s="377"/>
      <c r="HC30" s="377"/>
      <c r="HD30" s="377"/>
      <c r="HE30" s="377"/>
      <c r="HF30" s="377"/>
      <c r="HG30" s="377"/>
      <c r="HH30" s="377"/>
      <c r="HI30" s="377"/>
      <c r="HJ30" s="377"/>
      <c r="HK30" s="377"/>
      <c r="HL30" s="377"/>
      <c r="HM30" s="377"/>
      <c r="HN30" s="377"/>
      <c r="HO30" s="377"/>
      <c r="HP30" s="377"/>
      <c r="HQ30" s="377"/>
      <c r="HR30" s="377"/>
      <c r="HS30" s="377"/>
      <c r="HT30" s="377"/>
      <c r="HU30" s="377"/>
      <c r="HV30" s="377"/>
      <c r="HW30" s="377"/>
      <c r="HX30" s="377"/>
      <c r="HY30" s="377"/>
      <c r="HZ30" s="377"/>
      <c r="IA30" s="377"/>
      <c r="IB30" s="377"/>
      <c r="IC30" s="377"/>
      <c r="ID30" s="377"/>
      <c r="IE30" s="377"/>
      <c r="IF30" s="377"/>
      <c r="IG30" s="377"/>
      <c r="IH30" s="377"/>
      <c r="II30" s="377"/>
      <c r="IJ30" s="377"/>
      <c r="IK30" s="377"/>
      <c r="IL30" s="377"/>
      <c r="IM30" s="377"/>
      <c r="IN30" s="377"/>
      <c r="IO30" s="377"/>
      <c r="IP30" s="377"/>
      <c r="IQ30" s="377"/>
    </row>
    <row r="31" spans="1:251" ht="9.9499999999999993" customHeight="1">
      <c r="A31" s="380"/>
      <c r="B31" s="380"/>
      <c r="C31" s="381"/>
      <c r="D31" s="381"/>
      <c r="E31" s="382"/>
      <c r="F31" s="368"/>
      <c r="G31" s="381"/>
      <c r="H31" s="381"/>
      <c r="I31" s="381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  <c r="BU31" s="383"/>
      <c r="BV31" s="383"/>
      <c r="BW31" s="383"/>
      <c r="BX31" s="383"/>
      <c r="BY31" s="383"/>
      <c r="BZ31" s="383"/>
      <c r="CA31" s="383"/>
      <c r="CB31" s="383"/>
      <c r="CC31" s="383"/>
      <c r="CD31" s="383"/>
      <c r="CE31" s="383"/>
      <c r="CF31" s="383"/>
      <c r="CG31" s="383"/>
      <c r="CH31" s="383"/>
      <c r="CI31" s="383"/>
      <c r="CJ31" s="383"/>
      <c r="CK31" s="383"/>
      <c r="CL31" s="383"/>
      <c r="CM31" s="383"/>
      <c r="CN31" s="383"/>
      <c r="CO31" s="383"/>
      <c r="CP31" s="383"/>
      <c r="CQ31" s="383"/>
      <c r="CR31" s="383"/>
      <c r="CS31" s="383"/>
      <c r="CT31" s="383"/>
      <c r="CU31" s="383"/>
      <c r="CV31" s="383"/>
      <c r="CW31" s="383"/>
      <c r="CX31" s="383"/>
      <c r="CY31" s="383"/>
      <c r="CZ31" s="383"/>
      <c r="DA31" s="383"/>
      <c r="DB31" s="383"/>
      <c r="DC31" s="383"/>
      <c r="DD31" s="383"/>
      <c r="DE31" s="383"/>
      <c r="DF31" s="383"/>
      <c r="DG31" s="383"/>
      <c r="DH31" s="383"/>
      <c r="DI31" s="383"/>
      <c r="DJ31" s="383"/>
      <c r="DK31" s="383"/>
      <c r="DL31" s="383"/>
      <c r="DM31" s="383"/>
      <c r="DN31" s="383"/>
      <c r="DO31" s="383"/>
      <c r="DP31" s="383"/>
      <c r="DQ31" s="383"/>
      <c r="DR31" s="383"/>
      <c r="DS31" s="383"/>
      <c r="DT31" s="383"/>
      <c r="DU31" s="383"/>
      <c r="DV31" s="383"/>
      <c r="DW31" s="383"/>
      <c r="DX31" s="383"/>
      <c r="DY31" s="383"/>
      <c r="DZ31" s="383"/>
      <c r="EA31" s="383"/>
      <c r="EB31" s="383"/>
      <c r="EC31" s="383"/>
      <c r="ED31" s="383"/>
      <c r="EE31" s="383"/>
      <c r="EF31" s="383"/>
      <c r="EG31" s="383"/>
      <c r="EH31" s="383"/>
      <c r="EI31" s="383"/>
      <c r="EJ31" s="383"/>
      <c r="EK31" s="383"/>
      <c r="EL31" s="383"/>
      <c r="EM31" s="383"/>
      <c r="EN31" s="383"/>
      <c r="EO31" s="383"/>
      <c r="EP31" s="383"/>
      <c r="EQ31" s="383"/>
      <c r="ER31" s="383"/>
      <c r="ES31" s="383"/>
      <c r="ET31" s="383"/>
      <c r="EU31" s="383"/>
      <c r="EV31" s="383"/>
      <c r="EW31" s="383"/>
      <c r="EX31" s="383"/>
      <c r="EY31" s="383"/>
      <c r="EZ31" s="383"/>
      <c r="FA31" s="383"/>
      <c r="FB31" s="383"/>
      <c r="FC31" s="383"/>
      <c r="FD31" s="383"/>
      <c r="FE31" s="383"/>
      <c r="FF31" s="383"/>
      <c r="FG31" s="383"/>
      <c r="FH31" s="383"/>
      <c r="FI31" s="383"/>
      <c r="FJ31" s="383"/>
      <c r="FK31" s="383"/>
      <c r="FL31" s="383"/>
      <c r="FM31" s="383"/>
      <c r="FN31" s="383"/>
      <c r="FO31" s="383"/>
      <c r="FP31" s="383"/>
      <c r="FQ31" s="383"/>
      <c r="FR31" s="383"/>
      <c r="FS31" s="383"/>
      <c r="FT31" s="383"/>
      <c r="FU31" s="383"/>
      <c r="FV31" s="383"/>
      <c r="FW31" s="383"/>
      <c r="FX31" s="383"/>
      <c r="FY31" s="383"/>
      <c r="FZ31" s="383"/>
      <c r="GA31" s="383"/>
      <c r="GB31" s="383"/>
      <c r="GC31" s="383"/>
      <c r="GD31" s="383"/>
      <c r="GE31" s="383"/>
      <c r="GF31" s="383"/>
      <c r="GG31" s="383"/>
      <c r="GH31" s="383"/>
      <c r="GI31" s="383"/>
      <c r="GJ31" s="383"/>
      <c r="GK31" s="383"/>
      <c r="GL31" s="383"/>
      <c r="GM31" s="383"/>
      <c r="GN31" s="383"/>
      <c r="GO31" s="383"/>
      <c r="GP31" s="383"/>
      <c r="GQ31" s="383"/>
      <c r="GR31" s="383"/>
      <c r="GS31" s="383"/>
      <c r="GT31" s="383"/>
      <c r="GU31" s="383"/>
      <c r="GV31" s="383"/>
      <c r="GW31" s="383"/>
      <c r="GX31" s="383"/>
      <c r="GY31" s="383"/>
      <c r="GZ31" s="383"/>
      <c r="HA31" s="383"/>
      <c r="HB31" s="383"/>
      <c r="HC31" s="383"/>
      <c r="HD31" s="383"/>
      <c r="HE31" s="383"/>
      <c r="HF31" s="383"/>
      <c r="HG31" s="383"/>
      <c r="HH31" s="383"/>
      <c r="HI31" s="383"/>
      <c r="HJ31" s="383"/>
      <c r="HK31" s="383"/>
      <c r="HL31" s="383"/>
      <c r="HM31" s="383"/>
      <c r="HN31" s="383"/>
      <c r="HO31" s="383"/>
      <c r="HP31" s="383"/>
      <c r="HQ31" s="383"/>
      <c r="HR31" s="383"/>
      <c r="HS31" s="383"/>
      <c r="HT31" s="383"/>
      <c r="HU31" s="383"/>
      <c r="HV31" s="383"/>
      <c r="HW31" s="383"/>
      <c r="HX31" s="383"/>
      <c r="HY31" s="383"/>
      <c r="HZ31" s="383"/>
      <c r="IA31" s="383"/>
      <c r="IB31" s="383"/>
      <c r="IC31" s="383"/>
      <c r="ID31" s="383"/>
      <c r="IE31" s="383"/>
      <c r="IF31" s="383"/>
      <c r="IG31" s="383"/>
      <c r="IH31" s="383"/>
      <c r="II31" s="383"/>
      <c r="IJ31" s="383"/>
      <c r="IK31" s="383"/>
      <c r="IL31" s="383"/>
      <c r="IM31" s="383"/>
      <c r="IN31" s="383"/>
      <c r="IO31" s="383"/>
      <c r="IP31" s="383"/>
      <c r="IQ31" s="383"/>
    </row>
    <row r="32" spans="1:251">
      <c r="A32" s="384"/>
      <c r="B32" s="385" t="s">
        <v>591</v>
      </c>
      <c r="C32" s="356">
        <f>D32+E32</f>
        <v>89000</v>
      </c>
      <c r="D32" s="356">
        <v>89000</v>
      </c>
      <c r="E32" s="376">
        <v>0</v>
      </c>
      <c r="F32" s="368"/>
      <c r="G32" s="386" t="s">
        <v>421</v>
      </c>
      <c r="H32" s="386" t="s">
        <v>421</v>
      </c>
      <c r="I32" s="386" t="s">
        <v>421</v>
      </c>
    </row>
    <row r="33" spans="1:251" s="373" customFormat="1" ht="9.9499999999999993" customHeight="1">
      <c r="A33" s="352"/>
      <c r="B33" s="390"/>
      <c r="C33" s="354"/>
      <c r="D33" s="354"/>
      <c r="E33" s="355"/>
      <c r="F33" s="368"/>
      <c r="G33" s="356"/>
      <c r="H33" s="356"/>
      <c r="I33" s="356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/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/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/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3"/>
      <c r="GS33" s="263"/>
      <c r="GT33" s="263"/>
      <c r="GU33" s="263"/>
      <c r="GV33" s="263"/>
      <c r="GW33" s="263"/>
      <c r="GX33" s="263"/>
      <c r="GY33" s="263"/>
      <c r="GZ33" s="263"/>
      <c r="HA33" s="263"/>
      <c r="HB33" s="263"/>
      <c r="HC33" s="263"/>
      <c r="HD33" s="263"/>
      <c r="HE33" s="263"/>
      <c r="HF33" s="263"/>
      <c r="HG33" s="263"/>
      <c r="HH33" s="263"/>
      <c r="HI33" s="263"/>
      <c r="HJ33" s="263"/>
      <c r="HK33" s="263"/>
      <c r="HL33" s="263"/>
      <c r="HM33" s="263"/>
      <c r="HN33" s="263"/>
      <c r="HO33" s="263"/>
      <c r="HP33" s="263"/>
      <c r="HQ33" s="263"/>
      <c r="HR33" s="263"/>
      <c r="HS33" s="263"/>
      <c r="HT33" s="263"/>
      <c r="HU33" s="263"/>
      <c r="HV33" s="263"/>
      <c r="HW33" s="263"/>
      <c r="HX33" s="263"/>
      <c r="HY33" s="263"/>
      <c r="HZ33" s="263"/>
      <c r="IA33" s="263"/>
      <c r="IB33" s="263"/>
      <c r="IC33" s="263"/>
      <c r="ID33" s="263"/>
      <c r="IE33" s="263"/>
      <c r="IF33" s="263"/>
      <c r="IG33" s="263"/>
      <c r="IH33" s="263"/>
      <c r="II33" s="263"/>
      <c r="IJ33" s="263"/>
      <c r="IK33" s="263"/>
      <c r="IL33" s="263"/>
      <c r="IM33" s="263"/>
      <c r="IN33" s="263"/>
      <c r="IO33" s="263"/>
      <c r="IP33" s="263"/>
      <c r="IQ33" s="263"/>
    </row>
    <row r="34" spans="1:251" s="373" customFormat="1">
      <c r="A34" s="352"/>
      <c r="B34" s="391" t="s">
        <v>314</v>
      </c>
      <c r="C34" s="392" t="s">
        <v>421</v>
      </c>
      <c r="D34" s="392" t="s">
        <v>421</v>
      </c>
      <c r="E34" s="393" t="s">
        <v>421</v>
      </c>
      <c r="F34" s="368"/>
      <c r="G34" s="356">
        <f>H34+I34</f>
        <v>89000</v>
      </c>
      <c r="H34" s="356">
        <v>89000</v>
      </c>
      <c r="I34" s="356">
        <v>0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/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3"/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3"/>
      <c r="FF34" s="263"/>
      <c r="FG34" s="263"/>
      <c r="FH34" s="263"/>
      <c r="FI34" s="263"/>
      <c r="FJ34" s="263"/>
      <c r="FK34" s="263"/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/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  <c r="GN34" s="263"/>
      <c r="GO34" s="263"/>
      <c r="GP34" s="263"/>
      <c r="GQ34" s="263"/>
      <c r="GR34" s="263"/>
      <c r="GS34" s="263"/>
      <c r="GT34" s="263"/>
      <c r="GU34" s="263"/>
      <c r="GV34" s="263"/>
      <c r="GW34" s="263"/>
      <c r="GX34" s="263"/>
      <c r="GY34" s="263"/>
      <c r="GZ34" s="263"/>
      <c r="HA34" s="263"/>
      <c r="HB34" s="263"/>
      <c r="HC34" s="263"/>
      <c r="HD34" s="263"/>
      <c r="HE34" s="263"/>
      <c r="HF34" s="263"/>
      <c r="HG34" s="263"/>
      <c r="HH34" s="263"/>
      <c r="HI34" s="263"/>
      <c r="HJ34" s="263"/>
      <c r="HK34" s="263"/>
      <c r="HL34" s="263"/>
      <c r="HM34" s="263"/>
      <c r="HN34" s="263"/>
      <c r="HO34" s="263"/>
      <c r="HP34" s="263"/>
      <c r="HQ34" s="263"/>
      <c r="HR34" s="263"/>
      <c r="HS34" s="263"/>
      <c r="HT34" s="263"/>
      <c r="HU34" s="263"/>
      <c r="HV34" s="263"/>
      <c r="HW34" s="263"/>
      <c r="HX34" s="263"/>
      <c r="HY34" s="263"/>
      <c r="HZ34" s="263"/>
      <c r="IA34" s="263"/>
      <c r="IB34" s="263"/>
      <c r="IC34" s="263"/>
      <c r="ID34" s="263"/>
      <c r="IE34" s="263"/>
      <c r="IF34" s="263"/>
      <c r="IG34" s="263"/>
      <c r="IH34" s="263"/>
      <c r="II34" s="263"/>
      <c r="IJ34" s="263"/>
      <c r="IK34" s="263"/>
      <c r="IL34" s="263"/>
      <c r="IM34" s="263"/>
      <c r="IN34" s="263"/>
      <c r="IO34" s="263"/>
      <c r="IP34" s="263"/>
      <c r="IQ34" s="263"/>
    </row>
    <row r="35" spans="1:251" s="373" customFormat="1" ht="9.9499999999999993" customHeight="1">
      <c r="A35" s="352"/>
      <c r="B35" s="390"/>
      <c r="C35" s="354"/>
      <c r="D35" s="354"/>
      <c r="E35" s="355"/>
      <c r="F35" s="368"/>
      <c r="G35" s="356"/>
      <c r="H35" s="356"/>
      <c r="I35" s="356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/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3"/>
      <c r="EU35" s="263"/>
      <c r="EV35" s="263"/>
      <c r="EW35" s="263"/>
      <c r="EX35" s="263"/>
      <c r="EY35" s="263"/>
      <c r="EZ35" s="263"/>
      <c r="FA35" s="263"/>
      <c r="FB35" s="263"/>
      <c r="FC35" s="263"/>
      <c r="FD35" s="263"/>
      <c r="FE35" s="263"/>
      <c r="FF35" s="263"/>
      <c r="FG35" s="263"/>
      <c r="FH35" s="263"/>
      <c r="FI35" s="263"/>
      <c r="FJ35" s="263"/>
      <c r="FK35" s="263"/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/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  <c r="GN35" s="263"/>
      <c r="GO35" s="263"/>
      <c r="GP35" s="263"/>
      <c r="GQ35" s="263"/>
      <c r="GR35" s="263"/>
      <c r="GS35" s="263"/>
      <c r="GT35" s="263"/>
      <c r="GU35" s="263"/>
      <c r="GV35" s="263"/>
      <c r="GW35" s="263"/>
      <c r="GX35" s="263"/>
      <c r="GY35" s="263"/>
      <c r="GZ35" s="263"/>
      <c r="HA35" s="263"/>
      <c r="HB35" s="263"/>
      <c r="HC35" s="263"/>
      <c r="HD35" s="263"/>
      <c r="HE35" s="263"/>
      <c r="HF35" s="263"/>
      <c r="HG35" s="263"/>
      <c r="HH35" s="263"/>
      <c r="HI35" s="263"/>
      <c r="HJ35" s="263"/>
      <c r="HK35" s="263"/>
      <c r="HL35" s="263"/>
      <c r="HM35" s="263"/>
      <c r="HN35" s="263"/>
      <c r="HO35" s="263"/>
      <c r="HP35" s="263"/>
      <c r="HQ35" s="263"/>
      <c r="HR35" s="263"/>
      <c r="HS35" s="263"/>
      <c r="HT35" s="263"/>
      <c r="HU35" s="263"/>
      <c r="HV35" s="263"/>
      <c r="HW35" s="263"/>
      <c r="HX35" s="263"/>
      <c r="HY35" s="263"/>
      <c r="HZ35" s="263"/>
      <c r="IA35" s="263"/>
      <c r="IB35" s="263"/>
      <c r="IC35" s="263"/>
      <c r="ID35" s="263"/>
      <c r="IE35" s="263"/>
      <c r="IF35" s="263"/>
      <c r="IG35" s="263"/>
      <c r="IH35" s="263"/>
      <c r="II35" s="263"/>
      <c r="IJ35" s="263"/>
      <c r="IK35" s="263"/>
      <c r="IL35" s="263"/>
      <c r="IM35" s="263"/>
      <c r="IN35" s="263"/>
      <c r="IO35" s="263"/>
      <c r="IP35" s="263"/>
      <c r="IQ35" s="263"/>
    </row>
    <row r="36" spans="1:251" ht="15">
      <c r="A36" s="280" t="s">
        <v>23</v>
      </c>
      <c r="B36" s="362" t="s">
        <v>24</v>
      </c>
      <c r="C36" s="283">
        <f>C38+C46</f>
        <v>43549000</v>
      </c>
      <c r="D36" s="283">
        <f>D38+D46</f>
        <v>43549000</v>
      </c>
      <c r="E36" s="363">
        <f>E38+E46</f>
        <v>0</v>
      </c>
      <c r="F36" s="360"/>
      <c r="G36" s="283">
        <f>G38+G46</f>
        <v>43549000</v>
      </c>
      <c r="H36" s="283">
        <f>H38+H46</f>
        <v>43549000</v>
      </c>
      <c r="I36" s="283">
        <f>I38+I46</f>
        <v>0</v>
      </c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/>
      <c r="CA36" s="285"/>
      <c r="CB36" s="285"/>
      <c r="CC36" s="285"/>
      <c r="CD36" s="285"/>
      <c r="CE36" s="285"/>
      <c r="CF36" s="285"/>
      <c r="CG36" s="285"/>
      <c r="CH36" s="285"/>
      <c r="CI36" s="285"/>
      <c r="CJ36" s="285"/>
      <c r="CK36" s="285"/>
      <c r="CL36" s="285"/>
      <c r="CM36" s="285"/>
      <c r="CN36" s="285"/>
      <c r="CO36" s="285"/>
      <c r="CP36" s="285"/>
      <c r="CQ36" s="285"/>
      <c r="CR36" s="285"/>
      <c r="CS36" s="285"/>
      <c r="CT36" s="285"/>
      <c r="CU36" s="285"/>
      <c r="CV36" s="285"/>
      <c r="CW36" s="285"/>
      <c r="CX36" s="285"/>
      <c r="CY36" s="285"/>
      <c r="CZ36" s="285"/>
      <c r="DA36" s="285"/>
      <c r="DB36" s="285"/>
      <c r="DC36" s="285"/>
      <c r="DD36" s="285"/>
      <c r="DE36" s="285"/>
      <c r="DF36" s="285"/>
      <c r="DG36" s="285"/>
      <c r="DH36" s="285"/>
      <c r="DI36" s="285"/>
      <c r="DJ36" s="285"/>
      <c r="DK36" s="285"/>
      <c r="DL36" s="285"/>
      <c r="DM36" s="285"/>
      <c r="DN36" s="285"/>
      <c r="DO36" s="285"/>
      <c r="DP36" s="285"/>
      <c r="DQ36" s="285"/>
      <c r="DR36" s="285"/>
      <c r="DS36" s="285"/>
      <c r="DT36" s="285"/>
      <c r="DU36" s="285"/>
      <c r="DV36" s="285"/>
      <c r="DW36" s="285"/>
      <c r="DX36" s="285"/>
      <c r="DY36" s="285"/>
      <c r="DZ36" s="285"/>
      <c r="EA36" s="285"/>
      <c r="EB36" s="285"/>
      <c r="EC36" s="285"/>
      <c r="ED36" s="285"/>
      <c r="EE36" s="285"/>
      <c r="EF36" s="285"/>
      <c r="EG36" s="285"/>
      <c r="EH36" s="285"/>
      <c r="EI36" s="285"/>
      <c r="EJ36" s="285"/>
      <c r="EK36" s="285"/>
      <c r="EL36" s="285"/>
      <c r="EM36" s="285"/>
      <c r="EN36" s="285"/>
      <c r="EO36" s="285"/>
      <c r="EP36" s="285"/>
      <c r="EQ36" s="285"/>
      <c r="ER36" s="285"/>
      <c r="ES36" s="285"/>
      <c r="ET36" s="285"/>
      <c r="EU36" s="285"/>
      <c r="EV36" s="285"/>
      <c r="EW36" s="285"/>
      <c r="EX36" s="285"/>
      <c r="EY36" s="285"/>
      <c r="EZ36" s="285"/>
      <c r="FA36" s="285"/>
      <c r="FB36" s="285"/>
      <c r="FC36" s="285"/>
      <c r="FD36" s="285"/>
      <c r="FE36" s="285"/>
      <c r="FF36" s="285"/>
      <c r="FG36" s="285"/>
      <c r="FH36" s="285"/>
      <c r="FI36" s="285"/>
      <c r="FJ36" s="285"/>
      <c r="FK36" s="285"/>
      <c r="FL36" s="285"/>
      <c r="FM36" s="285"/>
      <c r="FN36" s="285"/>
      <c r="FO36" s="285"/>
      <c r="FP36" s="285"/>
      <c r="FQ36" s="285"/>
      <c r="FR36" s="285"/>
      <c r="FS36" s="285"/>
      <c r="FT36" s="285"/>
      <c r="FU36" s="285"/>
      <c r="FV36" s="285"/>
      <c r="FW36" s="285"/>
      <c r="FX36" s="285"/>
      <c r="FY36" s="285"/>
      <c r="FZ36" s="285"/>
      <c r="GA36" s="285"/>
      <c r="GB36" s="285"/>
      <c r="GC36" s="285"/>
      <c r="GD36" s="285"/>
      <c r="GE36" s="285"/>
      <c r="GF36" s="285"/>
      <c r="GG36" s="285"/>
      <c r="GH36" s="285"/>
      <c r="GI36" s="285"/>
      <c r="GJ36" s="285"/>
      <c r="GK36" s="285"/>
      <c r="GL36" s="285"/>
      <c r="GM36" s="285"/>
      <c r="GN36" s="285"/>
      <c r="GO36" s="285"/>
      <c r="GP36" s="285"/>
      <c r="GQ36" s="285"/>
      <c r="GR36" s="285"/>
      <c r="GS36" s="285"/>
      <c r="GT36" s="285"/>
      <c r="GU36" s="285"/>
      <c r="GV36" s="285"/>
      <c r="GW36" s="285"/>
      <c r="GX36" s="285"/>
      <c r="GY36" s="285"/>
      <c r="GZ36" s="285"/>
      <c r="HA36" s="285"/>
      <c r="HB36" s="285"/>
      <c r="HC36" s="285"/>
      <c r="HD36" s="285"/>
      <c r="HE36" s="285"/>
      <c r="HF36" s="285"/>
      <c r="HG36" s="285"/>
      <c r="HH36" s="285"/>
      <c r="HI36" s="285"/>
      <c r="HJ36" s="285"/>
      <c r="HK36" s="285"/>
      <c r="HL36" s="285"/>
      <c r="HM36" s="285"/>
      <c r="HN36" s="285"/>
      <c r="HO36" s="285"/>
      <c r="HP36" s="285"/>
      <c r="HQ36" s="285"/>
      <c r="HR36" s="285"/>
      <c r="HS36" s="285"/>
      <c r="HT36" s="285"/>
      <c r="HU36" s="285"/>
      <c r="HV36" s="285"/>
      <c r="HW36" s="285"/>
      <c r="HX36" s="285"/>
      <c r="HY36" s="285"/>
      <c r="HZ36" s="285"/>
      <c r="IA36" s="285"/>
      <c r="IB36" s="285"/>
      <c r="IC36" s="285"/>
      <c r="ID36" s="285"/>
      <c r="IE36" s="285"/>
      <c r="IF36" s="285"/>
      <c r="IG36" s="285"/>
      <c r="IH36" s="285"/>
      <c r="II36" s="285"/>
      <c r="IJ36" s="285"/>
      <c r="IK36" s="285"/>
      <c r="IL36" s="285"/>
      <c r="IM36" s="285"/>
      <c r="IN36" s="285"/>
      <c r="IO36" s="285"/>
      <c r="IP36" s="285"/>
      <c r="IQ36" s="285"/>
    </row>
    <row r="37" spans="1:251" ht="9.9499999999999993" customHeight="1">
      <c r="A37" s="364"/>
      <c r="B37" s="365"/>
      <c r="C37" s="394"/>
      <c r="D37" s="394"/>
      <c r="E37" s="395"/>
      <c r="F37" s="368"/>
      <c r="G37" s="356"/>
      <c r="H37" s="356"/>
      <c r="I37" s="356"/>
    </row>
    <row r="38" spans="1:251">
      <c r="A38" s="369" t="s">
        <v>327</v>
      </c>
      <c r="B38" s="370" t="s">
        <v>49</v>
      </c>
      <c r="C38" s="371">
        <f>C40</f>
        <v>43221000</v>
      </c>
      <c r="D38" s="371">
        <f>D40</f>
        <v>43221000</v>
      </c>
      <c r="E38" s="372">
        <f>E40</f>
        <v>0</v>
      </c>
      <c r="F38" s="368"/>
      <c r="G38" s="371">
        <f>G40</f>
        <v>43221000</v>
      </c>
      <c r="H38" s="371">
        <f>H40</f>
        <v>43221000</v>
      </c>
      <c r="I38" s="371">
        <f>I40</f>
        <v>0</v>
      </c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373"/>
      <c r="BF38" s="373"/>
      <c r="BG38" s="373"/>
      <c r="BH38" s="373"/>
      <c r="BI38" s="373"/>
      <c r="BJ38" s="373"/>
      <c r="BK38" s="373"/>
      <c r="BL38" s="373"/>
      <c r="BM38" s="373"/>
      <c r="BN38" s="373"/>
      <c r="BO38" s="373"/>
      <c r="BP38" s="373"/>
      <c r="BQ38" s="373"/>
      <c r="BR38" s="373"/>
      <c r="BS38" s="373"/>
      <c r="BT38" s="373"/>
      <c r="BU38" s="373"/>
      <c r="BV38" s="373"/>
      <c r="BW38" s="373"/>
      <c r="BX38" s="373"/>
      <c r="BY38" s="373"/>
      <c r="BZ38" s="373"/>
      <c r="CA38" s="373"/>
      <c r="CB38" s="373"/>
      <c r="CC38" s="373"/>
      <c r="CD38" s="373"/>
      <c r="CE38" s="373"/>
      <c r="CF38" s="373"/>
      <c r="CG38" s="373"/>
      <c r="CH38" s="373"/>
      <c r="CI38" s="373"/>
      <c r="CJ38" s="373"/>
      <c r="CK38" s="373"/>
      <c r="CL38" s="373"/>
      <c r="CM38" s="373"/>
      <c r="CN38" s="373"/>
      <c r="CO38" s="373"/>
      <c r="CP38" s="373"/>
      <c r="CQ38" s="373"/>
      <c r="CR38" s="373"/>
      <c r="CS38" s="373"/>
      <c r="CT38" s="373"/>
      <c r="CU38" s="373"/>
      <c r="CV38" s="373"/>
      <c r="CW38" s="373"/>
      <c r="CX38" s="373"/>
      <c r="CY38" s="373"/>
      <c r="CZ38" s="373"/>
      <c r="DA38" s="373"/>
      <c r="DB38" s="373"/>
      <c r="DC38" s="373"/>
      <c r="DD38" s="373"/>
      <c r="DE38" s="373"/>
      <c r="DF38" s="373"/>
      <c r="DG38" s="373"/>
      <c r="DH38" s="373"/>
      <c r="DI38" s="373"/>
      <c r="DJ38" s="373"/>
      <c r="DK38" s="373"/>
      <c r="DL38" s="373"/>
      <c r="DM38" s="373"/>
      <c r="DN38" s="373"/>
      <c r="DO38" s="373"/>
      <c r="DP38" s="373"/>
      <c r="DQ38" s="373"/>
      <c r="DR38" s="373"/>
      <c r="DS38" s="373"/>
      <c r="DT38" s="373"/>
      <c r="DU38" s="373"/>
      <c r="DV38" s="373"/>
      <c r="DW38" s="373"/>
      <c r="DX38" s="373"/>
      <c r="DY38" s="373"/>
      <c r="DZ38" s="373"/>
      <c r="EA38" s="373"/>
      <c r="EB38" s="373"/>
      <c r="EC38" s="373"/>
      <c r="ED38" s="373"/>
      <c r="EE38" s="373"/>
      <c r="EF38" s="373"/>
      <c r="EG38" s="373"/>
      <c r="EH38" s="373"/>
      <c r="EI38" s="373"/>
      <c r="EJ38" s="373"/>
      <c r="EK38" s="373"/>
      <c r="EL38" s="373"/>
      <c r="EM38" s="373"/>
      <c r="EN38" s="373"/>
      <c r="EO38" s="373"/>
      <c r="EP38" s="373"/>
      <c r="EQ38" s="373"/>
      <c r="ER38" s="373"/>
      <c r="ES38" s="373"/>
      <c r="ET38" s="373"/>
      <c r="EU38" s="373"/>
      <c r="EV38" s="373"/>
      <c r="EW38" s="373"/>
      <c r="EX38" s="373"/>
      <c r="EY38" s="373"/>
      <c r="EZ38" s="373"/>
      <c r="FA38" s="373"/>
      <c r="FB38" s="373"/>
      <c r="FC38" s="373"/>
      <c r="FD38" s="373"/>
      <c r="FE38" s="373"/>
      <c r="FF38" s="373"/>
      <c r="FG38" s="373"/>
      <c r="FH38" s="373"/>
      <c r="FI38" s="373"/>
      <c r="FJ38" s="373"/>
      <c r="FK38" s="373"/>
      <c r="FL38" s="373"/>
      <c r="FM38" s="373"/>
      <c r="FN38" s="373"/>
      <c r="FO38" s="373"/>
      <c r="FP38" s="373"/>
      <c r="FQ38" s="373"/>
      <c r="FR38" s="373"/>
      <c r="FS38" s="373"/>
      <c r="FT38" s="373"/>
      <c r="FU38" s="373"/>
      <c r="FV38" s="373"/>
      <c r="FW38" s="373"/>
      <c r="FX38" s="373"/>
      <c r="FY38" s="373"/>
      <c r="FZ38" s="373"/>
      <c r="GA38" s="373"/>
      <c r="GB38" s="373"/>
      <c r="GC38" s="373"/>
      <c r="GD38" s="373"/>
      <c r="GE38" s="373"/>
      <c r="GF38" s="373"/>
      <c r="GG38" s="373"/>
      <c r="GH38" s="373"/>
      <c r="GI38" s="373"/>
      <c r="GJ38" s="373"/>
      <c r="GK38" s="373"/>
      <c r="GL38" s="373"/>
      <c r="GM38" s="373"/>
      <c r="GN38" s="373"/>
      <c r="GO38" s="373"/>
      <c r="GP38" s="373"/>
      <c r="GQ38" s="373"/>
      <c r="GR38" s="373"/>
      <c r="GS38" s="373"/>
      <c r="GT38" s="373"/>
      <c r="GU38" s="373"/>
      <c r="GV38" s="373"/>
      <c r="GW38" s="373"/>
      <c r="GX38" s="373"/>
      <c r="GY38" s="373"/>
      <c r="GZ38" s="373"/>
      <c r="HA38" s="373"/>
      <c r="HB38" s="373"/>
      <c r="HC38" s="373"/>
      <c r="HD38" s="373"/>
      <c r="HE38" s="373"/>
      <c r="HF38" s="373"/>
      <c r="HG38" s="373"/>
      <c r="HH38" s="373"/>
      <c r="HI38" s="373"/>
      <c r="HJ38" s="373"/>
      <c r="HK38" s="373"/>
      <c r="HL38" s="373"/>
      <c r="HM38" s="373"/>
      <c r="HN38" s="373"/>
      <c r="HO38" s="373"/>
      <c r="HP38" s="373"/>
      <c r="HQ38" s="373"/>
      <c r="HR38" s="373"/>
      <c r="HS38" s="373"/>
      <c r="HT38" s="373"/>
      <c r="HU38" s="373"/>
      <c r="HV38" s="373"/>
      <c r="HW38" s="373"/>
      <c r="HX38" s="373"/>
      <c r="HY38" s="373"/>
      <c r="HZ38" s="373"/>
      <c r="IA38" s="373"/>
      <c r="IB38" s="373"/>
      <c r="IC38" s="373"/>
      <c r="ID38" s="373"/>
      <c r="IE38" s="373"/>
      <c r="IF38" s="373"/>
      <c r="IG38" s="373"/>
      <c r="IH38" s="373"/>
      <c r="II38" s="373"/>
      <c r="IJ38" s="373"/>
      <c r="IK38" s="373"/>
      <c r="IL38" s="373"/>
      <c r="IM38" s="373"/>
      <c r="IN38" s="373"/>
      <c r="IO38" s="373"/>
      <c r="IP38" s="373"/>
      <c r="IQ38" s="373"/>
    </row>
    <row r="39" spans="1:251" s="373" customFormat="1" ht="9.9499999999999993" customHeight="1">
      <c r="A39" s="374"/>
      <c r="B39" s="375"/>
      <c r="C39" s="396"/>
      <c r="D39" s="396"/>
      <c r="E39" s="397"/>
      <c r="F39" s="368"/>
      <c r="G39" s="356"/>
      <c r="H39" s="356"/>
      <c r="I39" s="356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/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/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  <c r="GN39" s="263"/>
      <c r="GO39" s="263"/>
      <c r="GP39" s="263"/>
      <c r="GQ39" s="263"/>
      <c r="GR39" s="263"/>
      <c r="GS39" s="263"/>
      <c r="GT39" s="263"/>
      <c r="GU39" s="263"/>
      <c r="GV39" s="263"/>
      <c r="GW39" s="263"/>
      <c r="GX39" s="263"/>
      <c r="GY39" s="263"/>
      <c r="GZ39" s="263"/>
      <c r="HA39" s="263"/>
      <c r="HB39" s="263"/>
      <c r="HC39" s="263"/>
      <c r="HD39" s="263"/>
      <c r="HE39" s="263"/>
      <c r="HF39" s="263"/>
      <c r="HG39" s="263"/>
      <c r="HH39" s="263"/>
      <c r="HI39" s="263"/>
      <c r="HJ39" s="263"/>
      <c r="HK39" s="263"/>
      <c r="HL39" s="263"/>
      <c r="HM39" s="263"/>
      <c r="HN39" s="263"/>
      <c r="HO39" s="263"/>
      <c r="HP39" s="263"/>
      <c r="HQ39" s="263"/>
      <c r="HR39" s="263"/>
      <c r="HS39" s="263"/>
      <c r="HT39" s="263"/>
      <c r="HU39" s="263"/>
      <c r="HV39" s="263"/>
      <c r="HW39" s="263"/>
      <c r="HX39" s="263"/>
      <c r="HY39" s="263"/>
      <c r="HZ39" s="263"/>
      <c r="IA39" s="263"/>
      <c r="IB39" s="263"/>
      <c r="IC39" s="263"/>
      <c r="ID39" s="263"/>
      <c r="IE39" s="263"/>
      <c r="IF39" s="263"/>
      <c r="IG39" s="263"/>
      <c r="IH39" s="263"/>
      <c r="II39" s="263"/>
      <c r="IJ39" s="263"/>
      <c r="IK39" s="263"/>
      <c r="IL39" s="263"/>
      <c r="IM39" s="263"/>
      <c r="IN39" s="263"/>
      <c r="IO39" s="263"/>
      <c r="IP39" s="263"/>
      <c r="IQ39" s="263"/>
    </row>
    <row r="40" spans="1:251">
      <c r="A40" s="1099" t="s">
        <v>594</v>
      </c>
      <c r="B40" s="1099"/>
      <c r="C40" s="378">
        <f>C42</f>
        <v>43221000</v>
      </c>
      <c r="D40" s="378">
        <f>D42</f>
        <v>43221000</v>
      </c>
      <c r="E40" s="379">
        <f>E42</f>
        <v>0</v>
      </c>
      <c r="F40" s="368"/>
      <c r="G40" s="378">
        <f>G44</f>
        <v>43221000</v>
      </c>
      <c r="H40" s="378">
        <f>H44</f>
        <v>43221000</v>
      </c>
      <c r="I40" s="378">
        <f>I44</f>
        <v>0</v>
      </c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  <c r="BC40" s="377"/>
      <c r="BD40" s="377"/>
      <c r="BE40" s="377"/>
      <c r="BF40" s="377"/>
      <c r="BG40" s="377"/>
      <c r="BH40" s="377"/>
      <c r="BI40" s="377"/>
      <c r="BJ40" s="377"/>
      <c r="BK40" s="377"/>
      <c r="BL40" s="377"/>
      <c r="BM40" s="377"/>
      <c r="BN40" s="377"/>
      <c r="BO40" s="377"/>
      <c r="BP40" s="377"/>
      <c r="BQ40" s="377"/>
      <c r="BR40" s="377"/>
      <c r="BS40" s="377"/>
      <c r="BT40" s="377"/>
      <c r="BU40" s="377"/>
      <c r="BV40" s="377"/>
      <c r="BW40" s="377"/>
      <c r="BX40" s="377"/>
      <c r="BY40" s="377"/>
      <c r="BZ40" s="377"/>
      <c r="CA40" s="377"/>
      <c r="CB40" s="377"/>
      <c r="CC40" s="377"/>
      <c r="CD40" s="377"/>
      <c r="CE40" s="377"/>
      <c r="CF40" s="377"/>
      <c r="CG40" s="377"/>
      <c r="CH40" s="377"/>
      <c r="CI40" s="377"/>
      <c r="CJ40" s="377"/>
      <c r="CK40" s="377"/>
      <c r="CL40" s="377"/>
      <c r="CM40" s="377"/>
      <c r="CN40" s="377"/>
      <c r="CO40" s="377"/>
      <c r="CP40" s="377"/>
      <c r="CQ40" s="377"/>
      <c r="CR40" s="377"/>
      <c r="CS40" s="377"/>
      <c r="CT40" s="377"/>
      <c r="CU40" s="377"/>
      <c r="CV40" s="377"/>
      <c r="CW40" s="377"/>
      <c r="CX40" s="377"/>
      <c r="CY40" s="377"/>
      <c r="CZ40" s="377"/>
      <c r="DA40" s="377"/>
      <c r="DB40" s="377"/>
      <c r="DC40" s="377"/>
      <c r="DD40" s="377"/>
      <c r="DE40" s="377"/>
      <c r="DF40" s="377"/>
      <c r="DG40" s="377"/>
      <c r="DH40" s="377"/>
      <c r="DI40" s="377"/>
      <c r="DJ40" s="377"/>
      <c r="DK40" s="377"/>
      <c r="DL40" s="377"/>
      <c r="DM40" s="377"/>
      <c r="DN40" s="377"/>
      <c r="DO40" s="377"/>
      <c r="DP40" s="377"/>
      <c r="DQ40" s="377"/>
      <c r="DR40" s="377"/>
      <c r="DS40" s="377"/>
      <c r="DT40" s="377"/>
      <c r="DU40" s="377"/>
      <c r="DV40" s="377"/>
      <c r="DW40" s="377"/>
      <c r="DX40" s="377"/>
      <c r="DY40" s="377"/>
      <c r="DZ40" s="377"/>
      <c r="EA40" s="377"/>
      <c r="EB40" s="377"/>
      <c r="EC40" s="377"/>
      <c r="ED40" s="377"/>
      <c r="EE40" s="377"/>
      <c r="EF40" s="377"/>
      <c r="EG40" s="377"/>
      <c r="EH40" s="377"/>
      <c r="EI40" s="377"/>
      <c r="EJ40" s="377"/>
      <c r="EK40" s="377"/>
      <c r="EL40" s="377"/>
      <c r="EM40" s="377"/>
      <c r="EN40" s="377"/>
      <c r="EO40" s="377"/>
      <c r="EP40" s="377"/>
      <c r="EQ40" s="377"/>
      <c r="ER40" s="377"/>
      <c r="ES40" s="377"/>
      <c r="ET40" s="377"/>
      <c r="EU40" s="377"/>
      <c r="EV40" s="377"/>
      <c r="EW40" s="377"/>
      <c r="EX40" s="377"/>
      <c r="EY40" s="377"/>
      <c r="EZ40" s="377"/>
      <c r="FA40" s="377"/>
      <c r="FB40" s="377"/>
      <c r="FC40" s="377"/>
      <c r="FD40" s="377"/>
      <c r="FE40" s="377"/>
      <c r="FF40" s="377"/>
      <c r="FG40" s="377"/>
      <c r="FH40" s="377"/>
      <c r="FI40" s="377"/>
      <c r="FJ40" s="377"/>
      <c r="FK40" s="377"/>
      <c r="FL40" s="377"/>
      <c r="FM40" s="377"/>
      <c r="FN40" s="377"/>
      <c r="FO40" s="377"/>
      <c r="FP40" s="377"/>
      <c r="FQ40" s="377"/>
      <c r="FR40" s="377"/>
      <c r="FS40" s="377"/>
      <c r="FT40" s="377"/>
      <c r="FU40" s="377"/>
      <c r="FV40" s="377"/>
      <c r="FW40" s="377"/>
      <c r="FX40" s="377"/>
      <c r="FY40" s="377"/>
      <c r="FZ40" s="377"/>
      <c r="GA40" s="377"/>
      <c r="GB40" s="377"/>
      <c r="GC40" s="377"/>
      <c r="GD40" s="377"/>
      <c r="GE40" s="377"/>
      <c r="GF40" s="377"/>
      <c r="GG40" s="377"/>
      <c r="GH40" s="377"/>
      <c r="GI40" s="377"/>
      <c r="GJ40" s="377"/>
      <c r="GK40" s="377"/>
      <c r="GL40" s="377"/>
      <c r="GM40" s="377"/>
      <c r="GN40" s="377"/>
      <c r="GO40" s="377"/>
      <c r="GP40" s="377"/>
      <c r="GQ40" s="377"/>
      <c r="GR40" s="377"/>
      <c r="GS40" s="377"/>
      <c r="GT40" s="377"/>
      <c r="GU40" s="377"/>
      <c r="GV40" s="377"/>
      <c r="GW40" s="377"/>
      <c r="GX40" s="377"/>
      <c r="GY40" s="377"/>
      <c r="GZ40" s="377"/>
      <c r="HA40" s="377"/>
      <c r="HB40" s="377"/>
      <c r="HC40" s="377"/>
      <c r="HD40" s="377"/>
      <c r="HE40" s="377"/>
      <c r="HF40" s="377"/>
      <c r="HG40" s="377"/>
      <c r="HH40" s="377"/>
      <c r="HI40" s="377"/>
      <c r="HJ40" s="377"/>
      <c r="HK40" s="377"/>
      <c r="HL40" s="377"/>
      <c r="HM40" s="377"/>
      <c r="HN40" s="377"/>
      <c r="HO40" s="377"/>
      <c r="HP40" s="377"/>
      <c r="HQ40" s="377"/>
      <c r="HR40" s="377"/>
      <c r="HS40" s="377"/>
      <c r="HT40" s="377"/>
      <c r="HU40" s="377"/>
      <c r="HV40" s="377"/>
      <c r="HW40" s="377"/>
      <c r="HX40" s="377"/>
      <c r="HY40" s="377"/>
      <c r="HZ40" s="377"/>
      <c r="IA40" s="377"/>
      <c r="IB40" s="377"/>
      <c r="IC40" s="377"/>
      <c r="ID40" s="377"/>
      <c r="IE40" s="377"/>
      <c r="IF40" s="377"/>
      <c r="IG40" s="377"/>
      <c r="IH40" s="377"/>
      <c r="II40" s="377"/>
      <c r="IJ40" s="377"/>
      <c r="IK40" s="377"/>
      <c r="IL40" s="377"/>
      <c r="IM40" s="377"/>
      <c r="IN40" s="377"/>
      <c r="IO40" s="377"/>
      <c r="IP40" s="377"/>
      <c r="IQ40" s="377"/>
    </row>
    <row r="41" spans="1:251" ht="9.9499999999999993" customHeight="1">
      <c r="A41" s="369"/>
      <c r="B41" s="398"/>
      <c r="C41" s="371"/>
      <c r="D41" s="371"/>
      <c r="E41" s="372"/>
      <c r="F41" s="368"/>
      <c r="G41" s="399"/>
      <c r="H41" s="399"/>
      <c r="I41" s="399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3"/>
      <c r="BG41" s="373"/>
      <c r="BH41" s="373"/>
      <c r="BI41" s="373"/>
      <c r="BJ41" s="373"/>
      <c r="BK41" s="373"/>
      <c r="BL41" s="373"/>
      <c r="BM41" s="373"/>
      <c r="BN41" s="373"/>
      <c r="BO41" s="373"/>
      <c r="BP41" s="373"/>
      <c r="BQ41" s="373"/>
      <c r="BR41" s="373"/>
      <c r="BS41" s="373"/>
      <c r="BT41" s="373"/>
      <c r="BU41" s="373"/>
      <c r="BV41" s="373"/>
      <c r="BW41" s="373"/>
      <c r="BX41" s="373"/>
      <c r="BY41" s="373"/>
      <c r="BZ41" s="373"/>
      <c r="CA41" s="373"/>
      <c r="CB41" s="373"/>
      <c r="CC41" s="373"/>
      <c r="CD41" s="373"/>
      <c r="CE41" s="373"/>
      <c r="CF41" s="373"/>
      <c r="CG41" s="373"/>
      <c r="CH41" s="373"/>
      <c r="CI41" s="373"/>
      <c r="CJ41" s="373"/>
      <c r="CK41" s="373"/>
      <c r="CL41" s="373"/>
      <c r="CM41" s="373"/>
      <c r="CN41" s="373"/>
      <c r="CO41" s="373"/>
      <c r="CP41" s="373"/>
      <c r="CQ41" s="373"/>
      <c r="CR41" s="373"/>
      <c r="CS41" s="373"/>
      <c r="CT41" s="373"/>
      <c r="CU41" s="373"/>
      <c r="CV41" s="373"/>
      <c r="CW41" s="373"/>
      <c r="CX41" s="373"/>
      <c r="CY41" s="373"/>
      <c r="CZ41" s="373"/>
      <c r="DA41" s="373"/>
      <c r="DB41" s="373"/>
      <c r="DC41" s="373"/>
      <c r="DD41" s="373"/>
      <c r="DE41" s="373"/>
      <c r="DF41" s="373"/>
      <c r="DG41" s="373"/>
      <c r="DH41" s="373"/>
      <c r="DI41" s="373"/>
      <c r="DJ41" s="373"/>
      <c r="DK41" s="373"/>
      <c r="DL41" s="373"/>
      <c r="DM41" s="373"/>
      <c r="DN41" s="373"/>
      <c r="DO41" s="373"/>
      <c r="DP41" s="373"/>
      <c r="DQ41" s="373"/>
      <c r="DR41" s="373"/>
      <c r="DS41" s="373"/>
      <c r="DT41" s="373"/>
      <c r="DU41" s="373"/>
      <c r="DV41" s="373"/>
      <c r="DW41" s="373"/>
      <c r="DX41" s="373"/>
      <c r="DY41" s="373"/>
      <c r="DZ41" s="373"/>
      <c r="EA41" s="373"/>
      <c r="EB41" s="373"/>
      <c r="EC41" s="373"/>
      <c r="ED41" s="373"/>
      <c r="EE41" s="373"/>
      <c r="EF41" s="373"/>
      <c r="EG41" s="373"/>
      <c r="EH41" s="373"/>
      <c r="EI41" s="373"/>
      <c r="EJ41" s="373"/>
      <c r="EK41" s="373"/>
      <c r="EL41" s="373"/>
      <c r="EM41" s="373"/>
      <c r="EN41" s="373"/>
      <c r="EO41" s="373"/>
      <c r="EP41" s="373"/>
      <c r="EQ41" s="373"/>
      <c r="ER41" s="373"/>
      <c r="ES41" s="373"/>
      <c r="ET41" s="373"/>
      <c r="EU41" s="373"/>
      <c r="EV41" s="373"/>
      <c r="EW41" s="373"/>
      <c r="EX41" s="373"/>
      <c r="EY41" s="373"/>
      <c r="EZ41" s="373"/>
      <c r="FA41" s="373"/>
      <c r="FB41" s="373"/>
      <c r="FC41" s="373"/>
      <c r="FD41" s="373"/>
      <c r="FE41" s="373"/>
      <c r="FF41" s="373"/>
      <c r="FG41" s="373"/>
      <c r="FH41" s="373"/>
      <c r="FI41" s="373"/>
      <c r="FJ41" s="373"/>
      <c r="FK41" s="373"/>
      <c r="FL41" s="373"/>
      <c r="FM41" s="373"/>
      <c r="FN41" s="373"/>
      <c r="FO41" s="373"/>
      <c r="FP41" s="373"/>
      <c r="FQ41" s="373"/>
      <c r="FR41" s="373"/>
      <c r="FS41" s="373"/>
      <c r="FT41" s="373"/>
      <c r="FU41" s="373"/>
      <c r="FV41" s="373"/>
      <c r="FW41" s="373"/>
      <c r="FX41" s="373"/>
      <c r="FY41" s="373"/>
      <c r="FZ41" s="373"/>
      <c r="GA41" s="373"/>
      <c r="GB41" s="373"/>
      <c r="GC41" s="373"/>
      <c r="GD41" s="373"/>
      <c r="GE41" s="373"/>
      <c r="GF41" s="373"/>
      <c r="GG41" s="373"/>
      <c r="GH41" s="373"/>
      <c r="GI41" s="373"/>
      <c r="GJ41" s="373"/>
      <c r="GK41" s="373"/>
      <c r="GL41" s="373"/>
      <c r="GM41" s="373"/>
      <c r="GN41" s="373"/>
      <c r="GO41" s="373"/>
      <c r="GP41" s="373"/>
      <c r="GQ41" s="373"/>
      <c r="GR41" s="373"/>
      <c r="GS41" s="373"/>
      <c r="GT41" s="373"/>
      <c r="GU41" s="373"/>
      <c r="GV41" s="373"/>
      <c r="GW41" s="373"/>
      <c r="GX41" s="373"/>
      <c r="GY41" s="373"/>
      <c r="GZ41" s="373"/>
      <c r="HA41" s="373"/>
      <c r="HB41" s="373"/>
      <c r="HC41" s="373"/>
      <c r="HD41" s="373"/>
      <c r="HE41" s="373"/>
      <c r="HF41" s="373"/>
      <c r="HG41" s="373"/>
      <c r="HH41" s="373"/>
      <c r="HI41" s="373"/>
      <c r="HJ41" s="373"/>
      <c r="HK41" s="373"/>
      <c r="HL41" s="373"/>
      <c r="HM41" s="373"/>
      <c r="HN41" s="373"/>
      <c r="HO41" s="373"/>
      <c r="HP41" s="373"/>
      <c r="HQ41" s="373"/>
      <c r="HR41" s="373"/>
      <c r="HS41" s="373"/>
      <c r="HT41" s="373"/>
      <c r="HU41" s="373"/>
      <c r="HV41" s="373"/>
      <c r="HW41" s="373"/>
      <c r="HX41" s="373"/>
      <c r="HY41" s="373"/>
      <c r="HZ41" s="373"/>
      <c r="IA41" s="373"/>
      <c r="IB41" s="373"/>
      <c r="IC41" s="373"/>
      <c r="ID41" s="373"/>
      <c r="IE41" s="373"/>
      <c r="IF41" s="373"/>
      <c r="IG41" s="373"/>
      <c r="IH41" s="373"/>
      <c r="II41" s="373"/>
      <c r="IJ41" s="373"/>
      <c r="IK41" s="373"/>
      <c r="IL41" s="373"/>
      <c r="IM41" s="373"/>
      <c r="IN41" s="373"/>
      <c r="IO41" s="373"/>
      <c r="IP41" s="373"/>
      <c r="IQ41" s="373"/>
    </row>
    <row r="42" spans="1:251">
      <c r="A42" s="384"/>
      <c r="B42" s="385" t="s">
        <v>591</v>
      </c>
      <c r="C42" s="356">
        <f>D42+E42</f>
        <v>43221000</v>
      </c>
      <c r="D42" s="356">
        <v>43221000</v>
      </c>
      <c r="E42" s="376">
        <v>0</v>
      </c>
      <c r="F42" s="368"/>
      <c r="G42" s="386" t="s">
        <v>421</v>
      </c>
      <c r="H42" s="386" t="s">
        <v>421</v>
      </c>
      <c r="I42" s="386" t="s">
        <v>421</v>
      </c>
    </row>
    <row r="43" spans="1:251" ht="9.9499999999999993" customHeight="1">
      <c r="A43" s="384"/>
      <c r="B43" s="385"/>
      <c r="C43" s="356"/>
      <c r="D43" s="356"/>
      <c r="E43" s="376"/>
      <c r="F43" s="368"/>
      <c r="G43" s="356"/>
      <c r="H43" s="356"/>
      <c r="I43" s="356"/>
    </row>
    <row r="44" spans="1:251">
      <c r="A44" s="384"/>
      <c r="B44" s="391" t="s">
        <v>595</v>
      </c>
      <c r="C44" s="386" t="s">
        <v>421</v>
      </c>
      <c r="D44" s="386" t="s">
        <v>421</v>
      </c>
      <c r="E44" s="400" t="s">
        <v>421</v>
      </c>
      <c r="F44" s="368"/>
      <c r="G44" s="356">
        <f>H44+I44</f>
        <v>43221000</v>
      </c>
      <c r="H44" s="356">
        <v>43221000</v>
      </c>
      <c r="I44" s="356">
        <v>0</v>
      </c>
    </row>
    <row r="45" spans="1:251" s="377" customFormat="1" ht="9.9499999999999993" customHeight="1">
      <c r="A45" s="374"/>
      <c r="B45" s="375"/>
      <c r="C45" s="396"/>
      <c r="D45" s="396"/>
      <c r="E45" s="397"/>
      <c r="F45" s="368"/>
      <c r="G45" s="356"/>
      <c r="H45" s="356"/>
      <c r="I45" s="356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3"/>
      <c r="FK45" s="263"/>
      <c r="FL45" s="263"/>
      <c r="FM45" s="263"/>
      <c r="FN45" s="263"/>
      <c r="FO45" s="263"/>
      <c r="FP45" s="263"/>
      <c r="FQ45" s="263"/>
      <c r="FR45" s="263"/>
      <c r="FS45" s="263"/>
      <c r="FT45" s="263"/>
      <c r="FU45" s="263"/>
      <c r="FV45" s="263"/>
      <c r="FW45" s="263"/>
      <c r="FX45" s="263"/>
      <c r="FY45" s="263"/>
      <c r="FZ45" s="263"/>
      <c r="GA45" s="263"/>
      <c r="GB45" s="263"/>
      <c r="GC45" s="263"/>
      <c r="GD45" s="263"/>
      <c r="GE45" s="263"/>
      <c r="GF45" s="263"/>
      <c r="GG45" s="263"/>
      <c r="GH45" s="263"/>
      <c r="GI45" s="263"/>
      <c r="GJ45" s="263"/>
      <c r="GK45" s="263"/>
      <c r="GL45" s="263"/>
      <c r="GM45" s="263"/>
      <c r="GN45" s="263"/>
      <c r="GO45" s="263"/>
      <c r="GP45" s="263"/>
      <c r="GQ45" s="263"/>
      <c r="GR45" s="263"/>
      <c r="GS45" s="263"/>
      <c r="GT45" s="263"/>
      <c r="GU45" s="263"/>
      <c r="GV45" s="263"/>
      <c r="GW45" s="263"/>
      <c r="GX45" s="263"/>
      <c r="GY45" s="263"/>
      <c r="GZ45" s="263"/>
      <c r="HA45" s="263"/>
      <c r="HB45" s="263"/>
      <c r="HC45" s="263"/>
      <c r="HD45" s="263"/>
      <c r="HE45" s="263"/>
      <c r="HF45" s="263"/>
      <c r="HG45" s="263"/>
      <c r="HH45" s="263"/>
      <c r="HI45" s="263"/>
      <c r="HJ45" s="263"/>
      <c r="HK45" s="263"/>
      <c r="HL45" s="263"/>
      <c r="HM45" s="263"/>
      <c r="HN45" s="263"/>
      <c r="HO45" s="263"/>
      <c r="HP45" s="263"/>
      <c r="HQ45" s="263"/>
      <c r="HR45" s="263"/>
      <c r="HS45" s="263"/>
      <c r="HT45" s="263"/>
      <c r="HU45" s="263"/>
      <c r="HV45" s="263"/>
      <c r="HW45" s="263"/>
      <c r="HX45" s="263"/>
      <c r="HY45" s="263"/>
      <c r="HZ45" s="263"/>
      <c r="IA45" s="263"/>
      <c r="IB45" s="263"/>
      <c r="IC45" s="263"/>
      <c r="ID45" s="263"/>
      <c r="IE45" s="263"/>
      <c r="IF45" s="263"/>
      <c r="IG45" s="263"/>
      <c r="IH45" s="263"/>
      <c r="II45" s="263"/>
      <c r="IJ45" s="263"/>
      <c r="IK45" s="263"/>
      <c r="IL45" s="263"/>
      <c r="IM45" s="263"/>
      <c r="IN45" s="263"/>
      <c r="IO45" s="263"/>
      <c r="IP45" s="263"/>
      <c r="IQ45" s="263"/>
    </row>
    <row r="46" spans="1:251" s="373" customFormat="1">
      <c r="A46" s="369" t="s">
        <v>335</v>
      </c>
      <c r="B46" s="370" t="s">
        <v>46</v>
      </c>
      <c r="C46" s="371">
        <f>C48</f>
        <v>328000</v>
      </c>
      <c r="D46" s="371">
        <f>D48</f>
        <v>328000</v>
      </c>
      <c r="E46" s="372">
        <f>E48</f>
        <v>0</v>
      </c>
      <c r="F46" s="368"/>
      <c r="G46" s="371">
        <f>G48</f>
        <v>328000</v>
      </c>
      <c r="H46" s="371">
        <f>H48</f>
        <v>328000</v>
      </c>
      <c r="I46" s="371">
        <f>I48</f>
        <v>0</v>
      </c>
    </row>
    <row r="47" spans="1:251" s="285" customFormat="1" ht="9.9499999999999993" customHeight="1">
      <c r="A47" s="401"/>
      <c r="B47" s="401"/>
      <c r="C47" s="396"/>
      <c r="D47" s="396"/>
      <c r="E47" s="397"/>
      <c r="F47" s="368"/>
      <c r="G47" s="356"/>
      <c r="H47" s="356"/>
      <c r="I47" s="356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  <c r="EG47" s="263"/>
      <c r="EH47" s="263"/>
      <c r="EI47" s="263"/>
      <c r="EJ47" s="263"/>
      <c r="EK47" s="263"/>
      <c r="EL47" s="263"/>
      <c r="EM47" s="263"/>
      <c r="EN47" s="263"/>
      <c r="EO47" s="263"/>
      <c r="EP47" s="263"/>
      <c r="EQ47" s="263"/>
      <c r="ER47" s="263"/>
      <c r="ES47" s="263"/>
      <c r="ET47" s="263"/>
      <c r="EU47" s="263"/>
      <c r="EV47" s="263"/>
      <c r="EW47" s="263"/>
      <c r="EX47" s="263"/>
      <c r="EY47" s="263"/>
      <c r="EZ47" s="263"/>
      <c r="FA47" s="263"/>
      <c r="FB47" s="263"/>
      <c r="FC47" s="263"/>
      <c r="FD47" s="263"/>
      <c r="FE47" s="263"/>
      <c r="FF47" s="263"/>
      <c r="FG47" s="263"/>
      <c r="FH47" s="263"/>
      <c r="FI47" s="263"/>
      <c r="FJ47" s="263"/>
      <c r="FK47" s="263"/>
      <c r="FL47" s="263"/>
      <c r="FM47" s="263"/>
      <c r="FN47" s="263"/>
      <c r="FO47" s="263"/>
      <c r="FP47" s="263"/>
      <c r="FQ47" s="263"/>
      <c r="FR47" s="263"/>
      <c r="FS47" s="263"/>
      <c r="FT47" s="263"/>
      <c r="FU47" s="263"/>
      <c r="FV47" s="263"/>
      <c r="FW47" s="263"/>
      <c r="FX47" s="263"/>
      <c r="FY47" s="263"/>
      <c r="FZ47" s="263"/>
      <c r="GA47" s="263"/>
      <c r="GB47" s="263"/>
      <c r="GC47" s="263"/>
      <c r="GD47" s="263"/>
      <c r="GE47" s="263"/>
      <c r="GF47" s="263"/>
      <c r="GG47" s="263"/>
      <c r="GH47" s="263"/>
      <c r="GI47" s="263"/>
      <c r="GJ47" s="263"/>
      <c r="GK47" s="263"/>
      <c r="GL47" s="263"/>
      <c r="GM47" s="263"/>
      <c r="GN47" s="263"/>
      <c r="GO47" s="263"/>
      <c r="GP47" s="263"/>
      <c r="GQ47" s="263"/>
      <c r="GR47" s="263"/>
      <c r="GS47" s="263"/>
      <c r="GT47" s="263"/>
      <c r="GU47" s="263"/>
      <c r="GV47" s="263"/>
      <c r="GW47" s="263"/>
      <c r="GX47" s="263"/>
      <c r="GY47" s="263"/>
      <c r="GZ47" s="263"/>
      <c r="HA47" s="263"/>
      <c r="HB47" s="263"/>
      <c r="HC47" s="263"/>
      <c r="HD47" s="263"/>
      <c r="HE47" s="263"/>
      <c r="HF47" s="263"/>
      <c r="HG47" s="263"/>
      <c r="HH47" s="263"/>
      <c r="HI47" s="263"/>
      <c r="HJ47" s="263"/>
      <c r="HK47" s="263"/>
      <c r="HL47" s="263"/>
      <c r="HM47" s="263"/>
      <c r="HN47" s="263"/>
      <c r="HO47" s="263"/>
      <c r="HP47" s="263"/>
      <c r="HQ47" s="263"/>
      <c r="HR47" s="263"/>
      <c r="HS47" s="263"/>
      <c r="HT47" s="263"/>
      <c r="HU47" s="263"/>
      <c r="HV47" s="263"/>
      <c r="HW47" s="263"/>
      <c r="HX47" s="263"/>
      <c r="HY47" s="263"/>
      <c r="HZ47" s="263"/>
      <c r="IA47" s="263"/>
      <c r="IB47" s="263"/>
      <c r="IC47" s="263"/>
      <c r="ID47" s="263"/>
      <c r="IE47" s="263"/>
      <c r="IF47" s="263"/>
      <c r="IG47" s="263"/>
      <c r="IH47" s="263"/>
      <c r="II47" s="263"/>
      <c r="IJ47" s="263"/>
      <c r="IK47" s="263"/>
      <c r="IL47" s="263"/>
      <c r="IM47" s="263"/>
      <c r="IN47" s="263"/>
      <c r="IO47" s="263"/>
      <c r="IP47" s="263"/>
      <c r="IQ47" s="263"/>
    </row>
    <row r="48" spans="1:251" s="373" customFormat="1">
      <c r="A48" s="1099" t="s">
        <v>596</v>
      </c>
      <c r="B48" s="1099"/>
      <c r="C48" s="378">
        <f>C50</f>
        <v>328000</v>
      </c>
      <c r="D48" s="378">
        <f>D50</f>
        <v>328000</v>
      </c>
      <c r="E48" s="379">
        <f>E50</f>
        <v>0</v>
      </c>
      <c r="F48" s="368"/>
      <c r="G48" s="378">
        <f>G52+G54</f>
        <v>328000</v>
      </c>
      <c r="H48" s="378">
        <f>H52+H54</f>
        <v>328000</v>
      </c>
      <c r="I48" s="378">
        <f>I52+I54</f>
        <v>0</v>
      </c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377"/>
      <c r="CQ48" s="377"/>
      <c r="CR48" s="377"/>
      <c r="CS48" s="377"/>
      <c r="CT48" s="377"/>
      <c r="CU48" s="377"/>
      <c r="CV48" s="377"/>
      <c r="CW48" s="377"/>
      <c r="CX48" s="377"/>
      <c r="CY48" s="377"/>
      <c r="CZ48" s="377"/>
      <c r="DA48" s="377"/>
      <c r="DB48" s="377"/>
      <c r="DC48" s="377"/>
      <c r="DD48" s="377"/>
      <c r="DE48" s="377"/>
      <c r="DF48" s="377"/>
      <c r="DG48" s="377"/>
      <c r="DH48" s="377"/>
      <c r="DI48" s="377"/>
      <c r="DJ48" s="377"/>
      <c r="DK48" s="377"/>
      <c r="DL48" s="377"/>
      <c r="DM48" s="377"/>
      <c r="DN48" s="377"/>
      <c r="DO48" s="377"/>
      <c r="DP48" s="377"/>
      <c r="DQ48" s="377"/>
      <c r="DR48" s="377"/>
      <c r="DS48" s="377"/>
      <c r="DT48" s="377"/>
      <c r="DU48" s="377"/>
      <c r="DV48" s="377"/>
      <c r="DW48" s="377"/>
      <c r="DX48" s="377"/>
      <c r="DY48" s="377"/>
      <c r="DZ48" s="377"/>
      <c r="EA48" s="377"/>
      <c r="EB48" s="377"/>
      <c r="EC48" s="377"/>
      <c r="ED48" s="377"/>
      <c r="EE48" s="377"/>
      <c r="EF48" s="377"/>
      <c r="EG48" s="377"/>
      <c r="EH48" s="377"/>
      <c r="EI48" s="377"/>
      <c r="EJ48" s="377"/>
      <c r="EK48" s="377"/>
      <c r="EL48" s="377"/>
      <c r="EM48" s="377"/>
      <c r="EN48" s="377"/>
      <c r="EO48" s="377"/>
      <c r="EP48" s="377"/>
      <c r="EQ48" s="377"/>
      <c r="ER48" s="377"/>
      <c r="ES48" s="377"/>
      <c r="ET48" s="377"/>
      <c r="EU48" s="377"/>
      <c r="EV48" s="377"/>
      <c r="EW48" s="377"/>
      <c r="EX48" s="377"/>
      <c r="EY48" s="377"/>
      <c r="EZ48" s="377"/>
      <c r="FA48" s="377"/>
      <c r="FB48" s="377"/>
      <c r="FC48" s="377"/>
      <c r="FD48" s="377"/>
      <c r="FE48" s="377"/>
      <c r="FF48" s="377"/>
      <c r="FG48" s="377"/>
      <c r="FH48" s="377"/>
      <c r="FI48" s="377"/>
      <c r="FJ48" s="377"/>
      <c r="FK48" s="377"/>
      <c r="FL48" s="377"/>
      <c r="FM48" s="377"/>
      <c r="FN48" s="377"/>
      <c r="FO48" s="377"/>
      <c r="FP48" s="377"/>
      <c r="FQ48" s="377"/>
      <c r="FR48" s="377"/>
      <c r="FS48" s="377"/>
      <c r="FT48" s="377"/>
      <c r="FU48" s="377"/>
      <c r="FV48" s="377"/>
      <c r="FW48" s="377"/>
      <c r="FX48" s="377"/>
      <c r="FY48" s="377"/>
      <c r="FZ48" s="377"/>
      <c r="GA48" s="377"/>
      <c r="GB48" s="377"/>
      <c r="GC48" s="377"/>
      <c r="GD48" s="377"/>
      <c r="GE48" s="377"/>
      <c r="GF48" s="377"/>
      <c r="GG48" s="377"/>
      <c r="GH48" s="377"/>
      <c r="GI48" s="377"/>
      <c r="GJ48" s="377"/>
      <c r="GK48" s="377"/>
      <c r="GL48" s="377"/>
      <c r="GM48" s="377"/>
      <c r="GN48" s="377"/>
      <c r="GO48" s="377"/>
      <c r="GP48" s="377"/>
      <c r="GQ48" s="377"/>
      <c r="GR48" s="377"/>
      <c r="GS48" s="377"/>
      <c r="GT48" s="377"/>
      <c r="GU48" s="377"/>
      <c r="GV48" s="377"/>
      <c r="GW48" s="377"/>
      <c r="GX48" s="377"/>
      <c r="GY48" s="377"/>
      <c r="GZ48" s="377"/>
      <c r="HA48" s="377"/>
      <c r="HB48" s="377"/>
      <c r="HC48" s="377"/>
      <c r="HD48" s="377"/>
      <c r="HE48" s="377"/>
      <c r="HF48" s="377"/>
      <c r="HG48" s="377"/>
      <c r="HH48" s="377"/>
      <c r="HI48" s="377"/>
      <c r="HJ48" s="377"/>
      <c r="HK48" s="377"/>
      <c r="HL48" s="377"/>
      <c r="HM48" s="377"/>
      <c r="HN48" s="377"/>
      <c r="HO48" s="377"/>
      <c r="HP48" s="377"/>
      <c r="HQ48" s="377"/>
      <c r="HR48" s="377"/>
      <c r="HS48" s="377"/>
      <c r="HT48" s="377"/>
      <c r="HU48" s="377"/>
      <c r="HV48" s="377"/>
      <c r="HW48" s="377"/>
      <c r="HX48" s="377"/>
      <c r="HY48" s="377"/>
      <c r="HZ48" s="377"/>
      <c r="IA48" s="377"/>
      <c r="IB48" s="377"/>
      <c r="IC48" s="377"/>
      <c r="ID48" s="377"/>
      <c r="IE48" s="377"/>
      <c r="IF48" s="377"/>
      <c r="IG48" s="377"/>
      <c r="IH48" s="377"/>
      <c r="II48" s="377"/>
      <c r="IJ48" s="377"/>
      <c r="IK48" s="377"/>
      <c r="IL48" s="377"/>
      <c r="IM48" s="377"/>
      <c r="IN48" s="377"/>
      <c r="IO48" s="377"/>
      <c r="IP48" s="377"/>
      <c r="IQ48" s="377"/>
    </row>
    <row r="49" spans="1:251" s="377" customFormat="1" ht="9.9499999999999993" customHeight="1">
      <c r="A49" s="369"/>
      <c r="B49" s="398"/>
      <c r="C49" s="371"/>
      <c r="D49" s="371"/>
      <c r="E49" s="372"/>
      <c r="F49" s="368"/>
      <c r="G49" s="399"/>
      <c r="H49" s="399"/>
      <c r="I49" s="399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  <c r="BA49" s="373"/>
      <c r="BB49" s="373"/>
      <c r="BC49" s="373"/>
      <c r="BD49" s="373"/>
      <c r="BE49" s="373"/>
      <c r="BF49" s="373"/>
      <c r="BG49" s="373"/>
      <c r="BH49" s="373"/>
      <c r="BI49" s="373"/>
      <c r="BJ49" s="373"/>
      <c r="BK49" s="373"/>
      <c r="BL49" s="373"/>
      <c r="BM49" s="373"/>
      <c r="BN49" s="373"/>
      <c r="BO49" s="373"/>
      <c r="BP49" s="373"/>
      <c r="BQ49" s="373"/>
      <c r="BR49" s="373"/>
      <c r="BS49" s="373"/>
      <c r="BT49" s="373"/>
      <c r="BU49" s="373"/>
      <c r="BV49" s="373"/>
      <c r="BW49" s="373"/>
      <c r="BX49" s="373"/>
      <c r="BY49" s="373"/>
      <c r="BZ49" s="373"/>
      <c r="CA49" s="373"/>
      <c r="CB49" s="373"/>
      <c r="CC49" s="373"/>
      <c r="CD49" s="373"/>
      <c r="CE49" s="373"/>
      <c r="CF49" s="373"/>
      <c r="CG49" s="373"/>
      <c r="CH49" s="373"/>
      <c r="CI49" s="373"/>
      <c r="CJ49" s="373"/>
      <c r="CK49" s="373"/>
      <c r="CL49" s="373"/>
      <c r="CM49" s="373"/>
      <c r="CN49" s="373"/>
      <c r="CO49" s="373"/>
      <c r="CP49" s="373"/>
      <c r="CQ49" s="373"/>
      <c r="CR49" s="373"/>
      <c r="CS49" s="373"/>
      <c r="CT49" s="373"/>
      <c r="CU49" s="373"/>
      <c r="CV49" s="373"/>
      <c r="CW49" s="373"/>
      <c r="CX49" s="373"/>
      <c r="CY49" s="373"/>
      <c r="CZ49" s="373"/>
      <c r="DA49" s="373"/>
      <c r="DB49" s="373"/>
      <c r="DC49" s="373"/>
      <c r="DD49" s="373"/>
      <c r="DE49" s="373"/>
      <c r="DF49" s="373"/>
      <c r="DG49" s="373"/>
      <c r="DH49" s="373"/>
      <c r="DI49" s="373"/>
      <c r="DJ49" s="373"/>
      <c r="DK49" s="373"/>
      <c r="DL49" s="373"/>
      <c r="DM49" s="373"/>
      <c r="DN49" s="373"/>
      <c r="DO49" s="373"/>
      <c r="DP49" s="373"/>
      <c r="DQ49" s="373"/>
      <c r="DR49" s="373"/>
      <c r="DS49" s="373"/>
      <c r="DT49" s="373"/>
      <c r="DU49" s="373"/>
      <c r="DV49" s="373"/>
      <c r="DW49" s="373"/>
      <c r="DX49" s="373"/>
      <c r="DY49" s="373"/>
      <c r="DZ49" s="373"/>
      <c r="EA49" s="373"/>
      <c r="EB49" s="373"/>
      <c r="EC49" s="373"/>
      <c r="ED49" s="373"/>
      <c r="EE49" s="373"/>
      <c r="EF49" s="373"/>
      <c r="EG49" s="373"/>
      <c r="EH49" s="373"/>
      <c r="EI49" s="373"/>
      <c r="EJ49" s="373"/>
      <c r="EK49" s="373"/>
      <c r="EL49" s="373"/>
      <c r="EM49" s="373"/>
      <c r="EN49" s="373"/>
      <c r="EO49" s="373"/>
      <c r="EP49" s="373"/>
      <c r="EQ49" s="373"/>
      <c r="ER49" s="373"/>
      <c r="ES49" s="373"/>
      <c r="ET49" s="373"/>
      <c r="EU49" s="373"/>
      <c r="EV49" s="373"/>
      <c r="EW49" s="373"/>
      <c r="EX49" s="373"/>
      <c r="EY49" s="373"/>
      <c r="EZ49" s="373"/>
      <c r="FA49" s="373"/>
      <c r="FB49" s="373"/>
      <c r="FC49" s="373"/>
      <c r="FD49" s="373"/>
      <c r="FE49" s="373"/>
      <c r="FF49" s="373"/>
      <c r="FG49" s="373"/>
      <c r="FH49" s="373"/>
      <c r="FI49" s="373"/>
      <c r="FJ49" s="373"/>
      <c r="FK49" s="373"/>
      <c r="FL49" s="373"/>
      <c r="FM49" s="373"/>
      <c r="FN49" s="373"/>
      <c r="FO49" s="373"/>
      <c r="FP49" s="373"/>
      <c r="FQ49" s="373"/>
      <c r="FR49" s="373"/>
      <c r="FS49" s="373"/>
      <c r="FT49" s="373"/>
      <c r="FU49" s="373"/>
      <c r="FV49" s="373"/>
      <c r="FW49" s="373"/>
      <c r="FX49" s="373"/>
      <c r="FY49" s="373"/>
      <c r="FZ49" s="373"/>
      <c r="GA49" s="373"/>
      <c r="GB49" s="373"/>
      <c r="GC49" s="373"/>
      <c r="GD49" s="373"/>
      <c r="GE49" s="373"/>
      <c r="GF49" s="373"/>
      <c r="GG49" s="373"/>
      <c r="GH49" s="373"/>
      <c r="GI49" s="373"/>
      <c r="GJ49" s="373"/>
      <c r="GK49" s="373"/>
      <c r="GL49" s="373"/>
      <c r="GM49" s="373"/>
      <c r="GN49" s="373"/>
      <c r="GO49" s="373"/>
      <c r="GP49" s="373"/>
      <c r="GQ49" s="373"/>
      <c r="GR49" s="373"/>
      <c r="GS49" s="373"/>
      <c r="GT49" s="373"/>
      <c r="GU49" s="373"/>
      <c r="GV49" s="373"/>
      <c r="GW49" s="373"/>
      <c r="GX49" s="373"/>
      <c r="GY49" s="373"/>
      <c r="GZ49" s="373"/>
      <c r="HA49" s="373"/>
      <c r="HB49" s="373"/>
      <c r="HC49" s="373"/>
      <c r="HD49" s="373"/>
      <c r="HE49" s="373"/>
      <c r="HF49" s="373"/>
      <c r="HG49" s="373"/>
      <c r="HH49" s="373"/>
      <c r="HI49" s="373"/>
      <c r="HJ49" s="373"/>
      <c r="HK49" s="373"/>
      <c r="HL49" s="373"/>
      <c r="HM49" s="373"/>
      <c r="HN49" s="373"/>
      <c r="HO49" s="373"/>
      <c r="HP49" s="373"/>
      <c r="HQ49" s="373"/>
      <c r="HR49" s="373"/>
      <c r="HS49" s="373"/>
      <c r="HT49" s="373"/>
      <c r="HU49" s="373"/>
      <c r="HV49" s="373"/>
      <c r="HW49" s="373"/>
      <c r="HX49" s="373"/>
      <c r="HY49" s="373"/>
      <c r="HZ49" s="373"/>
      <c r="IA49" s="373"/>
      <c r="IB49" s="373"/>
      <c r="IC49" s="373"/>
      <c r="ID49" s="373"/>
      <c r="IE49" s="373"/>
      <c r="IF49" s="373"/>
      <c r="IG49" s="373"/>
      <c r="IH49" s="373"/>
      <c r="II49" s="373"/>
      <c r="IJ49" s="373"/>
      <c r="IK49" s="373"/>
      <c r="IL49" s="373"/>
      <c r="IM49" s="373"/>
      <c r="IN49" s="373"/>
      <c r="IO49" s="373"/>
      <c r="IP49" s="373"/>
      <c r="IQ49" s="373"/>
    </row>
    <row r="50" spans="1:251" s="373" customFormat="1">
      <c r="A50" s="384"/>
      <c r="B50" s="385" t="s">
        <v>591</v>
      </c>
      <c r="C50" s="356">
        <f>D50+E50</f>
        <v>328000</v>
      </c>
      <c r="D50" s="356">
        <v>328000</v>
      </c>
      <c r="E50" s="376">
        <v>0</v>
      </c>
      <c r="F50" s="368"/>
      <c r="G50" s="386" t="s">
        <v>421</v>
      </c>
      <c r="H50" s="386" t="s">
        <v>421</v>
      </c>
      <c r="I50" s="386" t="s">
        <v>421</v>
      </c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  <c r="EI50" s="263"/>
      <c r="EJ50" s="263"/>
      <c r="EK50" s="263"/>
      <c r="EL50" s="263"/>
      <c r="EM50" s="263"/>
      <c r="EN50" s="263"/>
      <c r="EO50" s="263"/>
      <c r="EP50" s="263"/>
      <c r="EQ50" s="263"/>
      <c r="ER50" s="263"/>
      <c r="ES50" s="263"/>
      <c r="ET50" s="263"/>
      <c r="EU50" s="263"/>
      <c r="EV50" s="263"/>
      <c r="EW50" s="263"/>
      <c r="EX50" s="263"/>
      <c r="EY50" s="263"/>
      <c r="EZ50" s="263"/>
      <c r="FA50" s="263"/>
      <c r="FB50" s="263"/>
      <c r="FC50" s="263"/>
      <c r="FD50" s="263"/>
      <c r="FE50" s="263"/>
      <c r="FF50" s="263"/>
      <c r="FG50" s="263"/>
      <c r="FH50" s="263"/>
      <c r="FI50" s="263"/>
      <c r="FJ50" s="263"/>
      <c r="FK50" s="263"/>
      <c r="FL50" s="263"/>
      <c r="FM50" s="263"/>
      <c r="FN50" s="263"/>
      <c r="FO50" s="263"/>
      <c r="FP50" s="263"/>
      <c r="FQ50" s="263"/>
      <c r="FR50" s="263"/>
      <c r="FS50" s="263"/>
      <c r="FT50" s="263"/>
      <c r="FU50" s="263"/>
      <c r="FV50" s="263"/>
      <c r="FW50" s="263"/>
      <c r="FX50" s="263"/>
      <c r="FY50" s="263"/>
      <c r="FZ50" s="263"/>
      <c r="GA50" s="263"/>
      <c r="GB50" s="263"/>
      <c r="GC50" s="263"/>
      <c r="GD50" s="263"/>
      <c r="GE50" s="263"/>
      <c r="GF50" s="263"/>
      <c r="GG50" s="263"/>
      <c r="GH50" s="263"/>
      <c r="GI50" s="263"/>
      <c r="GJ50" s="263"/>
      <c r="GK50" s="263"/>
      <c r="GL50" s="263"/>
      <c r="GM50" s="263"/>
      <c r="GN50" s="263"/>
      <c r="GO50" s="263"/>
      <c r="GP50" s="263"/>
      <c r="GQ50" s="263"/>
      <c r="GR50" s="263"/>
      <c r="GS50" s="263"/>
      <c r="GT50" s="263"/>
      <c r="GU50" s="263"/>
      <c r="GV50" s="263"/>
      <c r="GW50" s="263"/>
      <c r="GX50" s="263"/>
      <c r="GY50" s="263"/>
      <c r="GZ50" s="263"/>
      <c r="HA50" s="263"/>
      <c r="HB50" s="263"/>
      <c r="HC50" s="263"/>
      <c r="HD50" s="263"/>
      <c r="HE50" s="263"/>
      <c r="HF50" s="263"/>
      <c r="HG50" s="263"/>
      <c r="HH50" s="263"/>
      <c r="HI50" s="263"/>
      <c r="HJ50" s="263"/>
      <c r="HK50" s="263"/>
      <c r="HL50" s="263"/>
      <c r="HM50" s="263"/>
      <c r="HN50" s="263"/>
      <c r="HO50" s="263"/>
      <c r="HP50" s="263"/>
      <c r="HQ50" s="263"/>
      <c r="HR50" s="263"/>
      <c r="HS50" s="263"/>
      <c r="HT50" s="263"/>
      <c r="HU50" s="263"/>
      <c r="HV50" s="263"/>
      <c r="HW50" s="263"/>
      <c r="HX50" s="263"/>
      <c r="HY50" s="263"/>
      <c r="HZ50" s="263"/>
      <c r="IA50" s="263"/>
      <c r="IB50" s="263"/>
      <c r="IC50" s="263"/>
      <c r="ID50" s="263"/>
      <c r="IE50" s="263"/>
      <c r="IF50" s="263"/>
      <c r="IG50" s="263"/>
      <c r="IH50" s="263"/>
      <c r="II50" s="263"/>
      <c r="IJ50" s="263"/>
      <c r="IK50" s="263"/>
      <c r="IL50" s="263"/>
      <c r="IM50" s="263"/>
      <c r="IN50" s="263"/>
      <c r="IO50" s="263"/>
      <c r="IP50" s="263"/>
      <c r="IQ50" s="263"/>
    </row>
    <row r="51" spans="1:251" ht="9.9499999999999993" customHeight="1">
      <c r="A51" s="384"/>
      <c r="B51" s="402"/>
      <c r="C51" s="396"/>
      <c r="D51" s="396"/>
      <c r="E51" s="397"/>
      <c r="F51" s="368"/>
      <c r="G51" s="356"/>
      <c r="H51" s="356"/>
      <c r="I51" s="356"/>
    </row>
    <row r="52" spans="1:251">
      <c r="A52" s="384"/>
      <c r="B52" s="391" t="s">
        <v>314</v>
      </c>
      <c r="C52" s="386" t="s">
        <v>421</v>
      </c>
      <c r="D52" s="386" t="s">
        <v>421</v>
      </c>
      <c r="E52" s="400" t="s">
        <v>421</v>
      </c>
      <c r="F52" s="368"/>
      <c r="G52" s="356">
        <f>H52+I52</f>
        <v>233000</v>
      </c>
      <c r="H52" s="356">
        <f>328000-95000</f>
        <v>233000</v>
      </c>
      <c r="I52" s="356">
        <v>0</v>
      </c>
    </row>
    <row r="53" spans="1:251" ht="9.9499999999999993" customHeight="1">
      <c r="A53" s="352"/>
      <c r="B53" s="391"/>
      <c r="C53" s="403"/>
      <c r="D53" s="403"/>
      <c r="E53" s="404"/>
      <c r="F53" s="368"/>
      <c r="G53" s="356"/>
      <c r="H53" s="356"/>
      <c r="I53" s="356"/>
    </row>
    <row r="54" spans="1:251">
      <c r="A54" s="352"/>
      <c r="B54" s="391" t="s">
        <v>592</v>
      </c>
      <c r="C54" s="392" t="s">
        <v>421</v>
      </c>
      <c r="D54" s="392" t="s">
        <v>421</v>
      </c>
      <c r="E54" s="393" t="s">
        <v>421</v>
      </c>
      <c r="F54" s="368"/>
      <c r="G54" s="356">
        <f>H54+I54</f>
        <v>95000</v>
      </c>
      <c r="H54" s="356">
        <v>95000</v>
      </c>
      <c r="I54" s="356">
        <v>0</v>
      </c>
    </row>
    <row r="55" spans="1:251" s="373" customFormat="1" ht="9.9499999999999993" customHeight="1">
      <c r="A55" s="352"/>
      <c r="B55" s="390"/>
      <c r="C55" s="354"/>
      <c r="D55" s="354"/>
      <c r="E55" s="355"/>
      <c r="F55" s="368"/>
      <c r="G55" s="356"/>
      <c r="H55" s="356"/>
      <c r="I55" s="356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3"/>
      <c r="EQ55" s="263"/>
      <c r="ER55" s="263"/>
      <c r="ES55" s="263"/>
      <c r="ET55" s="263"/>
      <c r="EU55" s="263"/>
      <c r="EV55" s="263"/>
      <c r="EW55" s="263"/>
      <c r="EX55" s="263"/>
      <c r="EY55" s="263"/>
      <c r="EZ55" s="263"/>
      <c r="FA55" s="263"/>
      <c r="FB55" s="263"/>
      <c r="FC55" s="263"/>
      <c r="FD55" s="263"/>
      <c r="FE55" s="263"/>
      <c r="FF55" s="263"/>
      <c r="FG55" s="263"/>
      <c r="FH55" s="263"/>
      <c r="FI55" s="263"/>
      <c r="FJ55" s="263"/>
      <c r="FK55" s="263"/>
      <c r="FL55" s="263"/>
      <c r="FM55" s="263"/>
      <c r="FN55" s="263"/>
      <c r="FO55" s="263"/>
      <c r="FP55" s="263"/>
      <c r="FQ55" s="263"/>
      <c r="FR55" s="263"/>
      <c r="FS55" s="263"/>
      <c r="FT55" s="263"/>
      <c r="FU55" s="263"/>
      <c r="FV55" s="263"/>
      <c r="FW55" s="263"/>
      <c r="FX55" s="263"/>
      <c r="FY55" s="263"/>
      <c r="FZ55" s="263"/>
      <c r="GA55" s="263"/>
      <c r="GB55" s="263"/>
      <c r="GC55" s="263"/>
      <c r="GD55" s="263"/>
      <c r="GE55" s="263"/>
      <c r="GF55" s="263"/>
      <c r="GG55" s="263"/>
      <c r="GH55" s="263"/>
      <c r="GI55" s="263"/>
      <c r="GJ55" s="263"/>
      <c r="GK55" s="263"/>
      <c r="GL55" s="263"/>
      <c r="GM55" s="263"/>
      <c r="GN55" s="263"/>
      <c r="GO55" s="263"/>
      <c r="GP55" s="263"/>
      <c r="GQ55" s="263"/>
      <c r="GR55" s="263"/>
      <c r="GS55" s="263"/>
      <c r="GT55" s="263"/>
      <c r="GU55" s="263"/>
      <c r="GV55" s="263"/>
      <c r="GW55" s="263"/>
      <c r="GX55" s="263"/>
      <c r="GY55" s="263"/>
      <c r="GZ55" s="263"/>
      <c r="HA55" s="263"/>
      <c r="HB55" s="263"/>
      <c r="HC55" s="263"/>
      <c r="HD55" s="263"/>
      <c r="HE55" s="263"/>
      <c r="HF55" s="263"/>
      <c r="HG55" s="263"/>
      <c r="HH55" s="263"/>
      <c r="HI55" s="263"/>
      <c r="HJ55" s="263"/>
      <c r="HK55" s="263"/>
      <c r="HL55" s="263"/>
      <c r="HM55" s="263"/>
      <c r="HN55" s="263"/>
      <c r="HO55" s="263"/>
      <c r="HP55" s="263"/>
      <c r="HQ55" s="263"/>
      <c r="HR55" s="263"/>
      <c r="HS55" s="263"/>
      <c r="HT55" s="263"/>
      <c r="HU55" s="263"/>
      <c r="HV55" s="263"/>
      <c r="HW55" s="263"/>
      <c r="HX55" s="263"/>
      <c r="HY55" s="263"/>
      <c r="HZ55" s="263"/>
      <c r="IA55" s="263"/>
      <c r="IB55" s="263"/>
      <c r="IC55" s="263"/>
      <c r="ID55" s="263"/>
      <c r="IE55" s="263"/>
      <c r="IF55" s="263"/>
      <c r="IG55" s="263"/>
      <c r="IH55" s="263"/>
      <c r="II55" s="263"/>
      <c r="IJ55" s="263"/>
      <c r="IK55" s="263"/>
      <c r="IL55" s="263"/>
      <c r="IM55" s="263"/>
      <c r="IN55" s="263"/>
      <c r="IO55" s="263"/>
      <c r="IP55" s="263"/>
      <c r="IQ55" s="263"/>
    </row>
    <row r="56" spans="1:251" ht="15">
      <c r="A56" s="280" t="s">
        <v>55</v>
      </c>
      <c r="B56" s="362" t="s">
        <v>56</v>
      </c>
      <c r="C56" s="283">
        <f>C58</f>
        <v>212000</v>
      </c>
      <c r="D56" s="283">
        <f>D58</f>
        <v>212000</v>
      </c>
      <c r="E56" s="363">
        <f>E58</f>
        <v>0</v>
      </c>
      <c r="F56" s="360"/>
      <c r="G56" s="283">
        <f>G58</f>
        <v>212000</v>
      </c>
      <c r="H56" s="283">
        <f>H58</f>
        <v>212000</v>
      </c>
      <c r="I56" s="283">
        <f>I58</f>
        <v>0</v>
      </c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5"/>
      <c r="BI56" s="285"/>
      <c r="BJ56" s="285"/>
      <c r="BK56" s="285"/>
      <c r="BL56" s="285"/>
      <c r="BM56" s="285"/>
      <c r="BN56" s="285"/>
      <c r="BO56" s="285"/>
      <c r="BP56" s="285"/>
      <c r="BQ56" s="285"/>
      <c r="BR56" s="285"/>
      <c r="BS56" s="285"/>
      <c r="BT56" s="285"/>
      <c r="BU56" s="285"/>
      <c r="BV56" s="285"/>
      <c r="BW56" s="285"/>
      <c r="BX56" s="285"/>
      <c r="BY56" s="285"/>
      <c r="BZ56" s="285"/>
      <c r="CA56" s="285"/>
      <c r="CB56" s="285"/>
      <c r="CC56" s="285"/>
      <c r="CD56" s="285"/>
      <c r="CE56" s="285"/>
      <c r="CF56" s="285"/>
      <c r="CG56" s="285"/>
      <c r="CH56" s="285"/>
      <c r="CI56" s="285"/>
      <c r="CJ56" s="285"/>
      <c r="CK56" s="285"/>
      <c r="CL56" s="285"/>
      <c r="CM56" s="285"/>
      <c r="CN56" s="285"/>
      <c r="CO56" s="285"/>
      <c r="CP56" s="285"/>
      <c r="CQ56" s="285"/>
      <c r="CR56" s="285"/>
      <c r="CS56" s="285"/>
      <c r="CT56" s="285"/>
      <c r="CU56" s="285"/>
      <c r="CV56" s="285"/>
      <c r="CW56" s="285"/>
      <c r="CX56" s="285"/>
      <c r="CY56" s="285"/>
      <c r="CZ56" s="285"/>
      <c r="DA56" s="285"/>
      <c r="DB56" s="285"/>
      <c r="DC56" s="285"/>
      <c r="DD56" s="285"/>
      <c r="DE56" s="285"/>
      <c r="DF56" s="285"/>
      <c r="DG56" s="285"/>
      <c r="DH56" s="285"/>
      <c r="DI56" s="285"/>
      <c r="DJ56" s="285"/>
      <c r="DK56" s="285"/>
      <c r="DL56" s="285"/>
      <c r="DM56" s="285"/>
      <c r="DN56" s="285"/>
      <c r="DO56" s="285"/>
      <c r="DP56" s="285"/>
      <c r="DQ56" s="285"/>
      <c r="DR56" s="285"/>
      <c r="DS56" s="285"/>
      <c r="DT56" s="285"/>
      <c r="DU56" s="285"/>
      <c r="DV56" s="285"/>
      <c r="DW56" s="285"/>
      <c r="DX56" s="285"/>
      <c r="DY56" s="285"/>
      <c r="DZ56" s="285"/>
      <c r="EA56" s="285"/>
      <c r="EB56" s="285"/>
      <c r="EC56" s="285"/>
      <c r="ED56" s="285"/>
      <c r="EE56" s="285"/>
      <c r="EF56" s="285"/>
      <c r="EG56" s="285"/>
      <c r="EH56" s="285"/>
      <c r="EI56" s="285"/>
      <c r="EJ56" s="285"/>
      <c r="EK56" s="285"/>
      <c r="EL56" s="285"/>
      <c r="EM56" s="285"/>
      <c r="EN56" s="285"/>
      <c r="EO56" s="285"/>
      <c r="EP56" s="285"/>
      <c r="EQ56" s="285"/>
      <c r="ER56" s="285"/>
      <c r="ES56" s="285"/>
      <c r="ET56" s="285"/>
      <c r="EU56" s="285"/>
      <c r="EV56" s="285"/>
      <c r="EW56" s="285"/>
      <c r="EX56" s="285"/>
      <c r="EY56" s="285"/>
      <c r="EZ56" s="285"/>
      <c r="FA56" s="285"/>
      <c r="FB56" s="285"/>
      <c r="FC56" s="285"/>
      <c r="FD56" s="285"/>
      <c r="FE56" s="285"/>
      <c r="FF56" s="285"/>
      <c r="FG56" s="285"/>
      <c r="FH56" s="285"/>
      <c r="FI56" s="285"/>
      <c r="FJ56" s="285"/>
      <c r="FK56" s="285"/>
      <c r="FL56" s="285"/>
      <c r="FM56" s="285"/>
      <c r="FN56" s="285"/>
      <c r="FO56" s="285"/>
      <c r="FP56" s="285"/>
      <c r="FQ56" s="285"/>
      <c r="FR56" s="285"/>
      <c r="FS56" s="285"/>
      <c r="FT56" s="285"/>
      <c r="FU56" s="285"/>
      <c r="FV56" s="285"/>
      <c r="FW56" s="285"/>
      <c r="FX56" s="285"/>
      <c r="FY56" s="285"/>
      <c r="FZ56" s="285"/>
      <c r="GA56" s="285"/>
      <c r="GB56" s="285"/>
      <c r="GC56" s="285"/>
      <c r="GD56" s="285"/>
      <c r="GE56" s="285"/>
      <c r="GF56" s="285"/>
      <c r="GG56" s="285"/>
      <c r="GH56" s="285"/>
      <c r="GI56" s="285"/>
      <c r="GJ56" s="285"/>
      <c r="GK56" s="285"/>
      <c r="GL56" s="285"/>
      <c r="GM56" s="285"/>
      <c r="GN56" s="285"/>
      <c r="GO56" s="285"/>
      <c r="GP56" s="285"/>
      <c r="GQ56" s="285"/>
      <c r="GR56" s="285"/>
      <c r="GS56" s="285"/>
      <c r="GT56" s="285"/>
      <c r="GU56" s="285"/>
      <c r="GV56" s="285"/>
      <c r="GW56" s="285"/>
      <c r="GX56" s="285"/>
      <c r="GY56" s="285"/>
      <c r="GZ56" s="285"/>
      <c r="HA56" s="285"/>
      <c r="HB56" s="285"/>
      <c r="HC56" s="285"/>
      <c r="HD56" s="285"/>
      <c r="HE56" s="285"/>
      <c r="HF56" s="285"/>
      <c r="HG56" s="285"/>
      <c r="HH56" s="285"/>
      <c r="HI56" s="285"/>
      <c r="HJ56" s="285"/>
      <c r="HK56" s="285"/>
      <c r="HL56" s="285"/>
      <c r="HM56" s="285"/>
      <c r="HN56" s="285"/>
      <c r="HO56" s="285"/>
      <c r="HP56" s="285"/>
      <c r="HQ56" s="285"/>
      <c r="HR56" s="285"/>
      <c r="HS56" s="285"/>
      <c r="HT56" s="285"/>
      <c r="HU56" s="285"/>
      <c r="HV56" s="285"/>
      <c r="HW56" s="285"/>
      <c r="HX56" s="285"/>
      <c r="HY56" s="285"/>
      <c r="HZ56" s="285"/>
      <c r="IA56" s="285"/>
      <c r="IB56" s="285"/>
      <c r="IC56" s="285"/>
      <c r="ID56" s="285"/>
      <c r="IE56" s="285"/>
      <c r="IF56" s="285"/>
      <c r="IG56" s="285"/>
      <c r="IH56" s="285"/>
      <c r="II56" s="285"/>
      <c r="IJ56" s="285"/>
      <c r="IK56" s="285"/>
      <c r="IL56" s="285"/>
      <c r="IM56" s="285"/>
      <c r="IN56" s="285"/>
      <c r="IO56" s="285"/>
      <c r="IP56" s="285"/>
      <c r="IQ56" s="285"/>
    </row>
    <row r="57" spans="1:251" ht="9.9499999999999993" customHeight="1">
      <c r="A57" s="374"/>
      <c r="B57" s="375"/>
      <c r="C57" s="396"/>
      <c r="D57" s="396"/>
      <c r="E57" s="397"/>
      <c r="F57" s="405"/>
      <c r="G57" s="356"/>
      <c r="H57" s="356"/>
      <c r="I57" s="356"/>
    </row>
    <row r="58" spans="1:251">
      <c r="A58" s="369" t="s">
        <v>336</v>
      </c>
      <c r="B58" s="370" t="s">
        <v>46</v>
      </c>
      <c r="C58" s="371">
        <f>C60</f>
        <v>212000</v>
      </c>
      <c r="D58" s="371">
        <f>D60</f>
        <v>212000</v>
      </c>
      <c r="E58" s="372">
        <f>E60</f>
        <v>0</v>
      </c>
      <c r="F58" s="368"/>
      <c r="G58" s="406">
        <f>G60</f>
        <v>212000</v>
      </c>
      <c r="H58" s="371">
        <f>H60</f>
        <v>212000</v>
      </c>
      <c r="I58" s="371">
        <f>I60</f>
        <v>0</v>
      </c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3"/>
      <c r="BG58" s="373"/>
      <c r="BH58" s="373"/>
      <c r="BI58" s="373"/>
      <c r="BJ58" s="373"/>
      <c r="BK58" s="373"/>
      <c r="BL58" s="373"/>
      <c r="BM58" s="373"/>
      <c r="BN58" s="373"/>
      <c r="BO58" s="373"/>
      <c r="BP58" s="373"/>
      <c r="BQ58" s="373"/>
      <c r="BR58" s="373"/>
      <c r="BS58" s="373"/>
      <c r="BT58" s="373"/>
      <c r="BU58" s="373"/>
      <c r="BV58" s="373"/>
      <c r="BW58" s="373"/>
      <c r="BX58" s="373"/>
      <c r="BY58" s="373"/>
      <c r="BZ58" s="373"/>
      <c r="CA58" s="373"/>
      <c r="CB58" s="373"/>
      <c r="CC58" s="373"/>
      <c r="CD58" s="373"/>
      <c r="CE58" s="373"/>
      <c r="CF58" s="373"/>
      <c r="CG58" s="373"/>
      <c r="CH58" s="373"/>
      <c r="CI58" s="373"/>
      <c r="CJ58" s="373"/>
      <c r="CK58" s="373"/>
      <c r="CL58" s="373"/>
      <c r="CM58" s="373"/>
      <c r="CN58" s="373"/>
      <c r="CO58" s="373"/>
      <c r="CP58" s="373"/>
      <c r="CQ58" s="373"/>
      <c r="CR58" s="373"/>
      <c r="CS58" s="373"/>
      <c r="CT58" s="373"/>
      <c r="CU58" s="373"/>
      <c r="CV58" s="373"/>
      <c r="CW58" s="373"/>
      <c r="CX58" s="373"/>
      <c r="CY58" s="373"/>
      <c r="CZ58" s="373"/>
      <c r="DA58" s="373"/>
      <c r="DB58" s="373"/>
      <c r="DC58" s="373"/>
      <c r="DD58" s="373"/>
      <c r="DE58" s="373"/>
      <c r="DF58" s="373"/>
      <c r="DG58" s="373"/>
      <c r="DH58" s="373"/>
      <c r="DI58" s="373"/>
      <c r="DJ58" s="373"/>
      <c r="DK58" s="373"/>
      <c r="DL58" s="373"/>
      <c r="DM58" s="373"/>
      <c r="DN58" s="373"/>
      <c r="DO58" s="373"/>
      <c r="DP58" s="373"/>
      <c r="DQ58" s="373"/>
      <c r="DR58" s="373"/>
      <c r="DS58" s="373"/>
      <c r="DT58" s="373"/>
      <c r="DU58" s="373"/>
      <c r="DV58" s="373"/>
      <c r="DW58" s="373"/>
      <c r="DX58" s="373"/>
      <c r="DY58" s="373"/>
      <c r="DZ58" s="373"/>
      <c r="EA58" s="373"/>
      <c r="EB58" s="373"/>
      <c r="EC58" s="373"/>
      <c r="ED58" s="373"/>
      <c r="EE58" s="373"/>
      <c r="EF58" s="373"/>
      <c r="EG58" s="373"/>
      <c r="EH58" s="373"/>
      <c r="EI58" s="373"/>
      <c r="EJ58" s="373"/>
      <c r="EK58" s="373"/>
      <c r="EL58" s="373"/>
      <c r="EM58" s="373"/>
      <c r="EN58" s="373"/>
      <c r="EO58" s="373"/>
      <c r="EP58" s="373"/>
      <c r="EQ58" s="373"/>
      <c r="ER58" s="373"/>
      <c r="ES58" s="373"/>
      <c r="ET58" s="373"/>
      <c r="EU58" s="373"/>
      <c r="EV58" s="373"/>
      <c r="EW58" s="373"/>
      <c r="EX58" s="373"/>
      <c r="EY58" s="373"/>
      <c r="EZ58" s="373"/>
      <c r="FA58" s="373"/>
      <c r="FB58" s="373"/>
      <c r="FC58" s="373"/>
      <c r="FD58" s="373"/>
      <c r="FE58" s="373"/>
      <c r="FF58" s="373"/>
      <c r="FG58" s="373"/>
      <c r="FH58" s="373"/>
      <c r="FI58" s="373"/>
      <c r="FJ58" s="373"/>
      <c r="FK58" s="373"/>
      <c r="FL58" s="373"/>
      <c r="FM58" s="373"/>
      <c r="FN58" s="373"/>
      <c r="FO58" s="373"/>
      <c r="FP58" s="373"/>
      <c r="FQ58" s="373"/>
      <c r="FR58" s="373"/>
      <c r="FS58" s="373"/>
      <c r="FT58" s="373"/>
      <c r="FU58" s="373"/>
      <c r="FV58" s="373"/>
      <c r="FW58" s="373"/>
      <c r="FX58" s="373"/>
      <c r="FY58" s="373"/>
      <c r="FZ58" s="373"/>
      <c r="GA58" s="373"/>
      <c r="GB58" s="373"/>
      <c r="GC58" s="373"/>
      <c r="GD58" s="373"/>
      <c r="GE58" s="373"/>
      <c r="GF58" s="373"/>
      <c r="GG58" s="373"/>
      <c r="GH58" s="373"/>
      <c r="GI58" s="373"/>
      <c r="GJ58" s="373"/>
      <c r="GK58" s="373"/>
      <c r="GL58" s="373"/>
      <c r="GM58" s="373"/>
      <c r="GN58" s="373"/>
      <c r="GO58" s="373"/>
      <c r="GP58" s="373"/>
      <c r="GQ58" s="373"/>
      <c r="GR58" s="373"/>
      <c r="GS58" s="373"/>
      <c r="GT58" s="373"/>
      <c r="GU58" s="373"/>
      <c r="GV58" s="373"/>
      <c r="GW58" s="373"/>
      <c r="GX58" s="373"/>
      <c r="GY58" s="373"/>
      <c r="GZ58" s="373"/>
      <c r="HA58" s="373"/>
      <c r="HB58" s="373"/>
      <c r="HC58" s="373"/>
      <c r="HD58" s="373"/>
      <c r="HE58" s="373"/>
      <c r="HF58" s="373"/>
      <c r="HG58" s="373"/>
      <c r="HH58" s="373"/>
      <c r="HI58" s="373"/>
      <c r="HJ58" s="373"/>
      <c r="HK58" s="373"/>
      <c r="HL58" s="373"/>
      <c r="HM58" s="373"/>
      <c r="HN58" s="373"/>
      <c r="HO58" s="373"/>
      <c r="HP58" s="373"/>
      <c r="HQ58" s="373"/>
      <c r="HR58" s="373"/>
      <c r="HS58" s="373"/>
      <c r="HT58" s="373"/>
      <c r="HU58" s="373"/>
      <c r="HV58" s="373"/>
      <c r="HW58" s="373"/>
      <c r="HX58" s="373"/>
      <c r="HY58" s="373"/>
      <c r="HZ58" s="373"/>
      <c r="IA58" s="373"/>
      <c r="IB58" s="373"/>
      <c r="IC58" s="373"/>
      <c r="ID58" s="373"/>
      <c r="IE58" s="373"/>
      <c r="IF58" s="373"/>
      <c r="IG58" s="373"/>
      <c r="IH58" s="373"/>
      <c r="II58" s="373"/>
      <c r="IJ58" s="373"/>
      <c r="IK58" s="373"/>
      <c r="IL58" s="373"/>
      <c r="IM58" s="373"/>
      <c r="IN58" s="373"/>
      <c r="IO58" s="373"/>
      <c r="IP58" s="373"/>
      <c r="IQ58" s="373"/>
    </row>
    <row r="59" spans="1:251" s="373" customFormat="1" ht="9.9499999999999993" customHeight="1">
      <c r="A59" s="364"/>
      <c r="B59" s="365"/>
      <c r="C59" s="394"/>
      <c r="D59" s="394"/>
      <c r="E59" s="395"/>
      <c r="F59" s="368"/>
      <c r="G59" s="356"/>
      <c r="H59" s="356"/>
      <c r="I59" s="356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263"/>
      <c r="DE59" s="263"/>
      <c r="DF59" s="263"/>
      <c r="DG59" s="263"/>
      <c r="DH59" s="263"/>
      <c r="DI59" s="263"/>
      <c r="DJ59" s="263"/>
      <c r="DK59" s="263"/>
      <c r="DL59" s="263"/>
      <c r="DM59" s="263"/>
      <c r="DN59" s="263"/>
      <c r="DO59" s="263"/>
      <c r="DP59" s="263"/>
      <c r="DQ59" s="263"/>
      <c r="DR59" s="263"/>
      <c r="DS59" s="263"/>
      <c r="DT59" s="263"/>
      <c r="DU59" s="263"/>
      <c r="DV59" s="263"/>
      <c r="DW59" s="263"/>
      <c r="DX59" s="263"/>
      <c r="DY59" s="263"/>
      <c r="DZ59" s="263"/>
      <c r="EA59" s="263"/>
      <c r="EB59" s="263"/>
      <c r="EC59" s="263"/>
      <c r="ED59" s="263"/>
      <c r="EE59" s="263"/>
      <c r="EF59" s="263"/>
      <c r="EG59" s="263"/>
      <c r="EH59" s="263"/>
      <c r="EI59" s="263"/>
      <c r="EJ59" s="263"/>
      <c r="EK59" s="263"/>
      <c r="EL59" s="263"/>
      <c r="EM59" s="263"/>
      <c r="EN59" s="263"/>
      <c r="EO59" s="263"/>
      <c r="EP59" s="263"/>
      <c r="EQ59" s="263"/>
      <c r="ER59" s="263"/>
      <c r="ES59" s="263"/>
      <c r="ET59" s="263"/>
      <c r="EU59" s="263"/>
      <c r="EV59" s="263"/>
      <c r="EW59" s="263"/>
      <c r="EX59" s="263"/>
      <c r="EY59" s="263"/>
      <c r="EZ59" s="263"/>
      <c r="FA59" s="263"/>
      <c r="FB59" s="263"/>
      <c r="FC59" s="263"/>
      <c r="FD59" s="263"/>
      <c r="FE59" s="263"/>
      <c r="FF59" s="263"/>
      <c r="FG59" s="263"/>
      <c r="FH59" s="263"/>
      <c r="FI59" s="263"/>
      <c r="FJ59" s="263"/>
      <c r="FK59" s="263"/>
      <c r="FL59" s="263"/>
      <c r="FM59" s="263"/>
      <c r="FN59" s="263"/>
      <c r="FO59" s="263"/>
      <c r="FP59" s="263"/>
      <c r="FQ59" s="263"/>
      <c r="FR59" s="263"/>
      <c r="FS59" s="263"/>
      <c r="FT59" s="263"/>
      <c r="FU59" s="263"/>
      <c r="FV59" s="263"/>
      <c r="FW59" s="263"/>
      <c r="FX59" s="263"/>
      <c r="FY59" s="263"/>
      <c r="FZ59" s="263"/>
      <c r="GA59" s="263"/>
      <c r="GB59" s="263"/>
      <c r="GC59" s="263"/>
      <c r="GD59" s="263"/>
      <c r="GE59" s="263"/>
      <c r="GF59" s="263"/>
      <c r="GG59" s="263"/>
      <c r="GH59" s="263"/>
      <c r="GI59" s="263"/>
      <c r="GJ59" s="263"/>
      <c r="GK59" s="263"/>
      <c r="GL59" s="263"/>
      <c r="GM59" s="263"/>
      <c r="GN59" s="263"/>
      <c r="GO59" s="263"/>
      <c r="GP59" s="263"/>
      <c r="GQ59" s="263"/>
      <c r="GR59" s="263"/>
      <c r="GS59" s="263"/>
      <c r="GT59" s="263"/>
      <c r="GU59" s="263"/>
      <c r="GV59" s="263"/>
      <c r="GW59" s="263"/>
      <c r="GX59" s="263"/>
      <c r="GY59" s="263"/>
      <c r="GZ59" s="263"/>
      <c r="HA59" s="263"/>
      <c r="HB59" s="263"/>
      <c r="HC59" s="263"/>
      <c r="HD59" s="263"/>
      <c r="HE59" s="263"/>
      <c r="HF59" s="263"/>
      <c r="HG59" s="263"/>
      <c r="HH59" s="263"/>
      <c r="HI59" s="263"/>
      <c r="HJ59" s="263"/>
      <c r="HK59" s="263"/>
      <c r="HL59" s="263"/>
      <c r="HM59" s="263"/>
      <c r="HN59" s="263"/>
      <c r="HO59" s="263"/>
      <c r="HP59" s="263"/>
      <c r="HQ59" s="263"/>
      <c r="HR59" s="263"/>
      <c r="HS59" s="263"/>
      <c r="HT59" s="263"/>
      <c r="HU59" s="263"/>
      <c r="HV59" s="263"/>
      <c r="HW59" s="263"/>
      <c r="HX59" s="263"/>
      <c r="HY59" s="263"/>
      <c r="HZ59" s="263"/>
      <c r="IA59" s="263"/>
      <c r="IB59" s="263"/>
      <c r="IC59" s="263"/>
      <c r="ID59" s="263"/>
      <c r="IE59" s="263"/>
      <c r="IF59" s="263"/>
      <c r="IG59" s="263"/>
      <c r="IH59" s="263"/>
      <c r="II59" s="263"/>
      <c r="IJ59" s="263"/>
      <c r="IK59" s="263"/>
      <c r="IL59" s="263"/>
      <c r="IM59" s="263"/>
      <c r="IN59" s="263"/>
      <c r="IO59" s="263"/>
      <c r="IP59" s="263"/>
      <c r="IQ59" s="263"/>
    </row>
    <row r="60" spans="1:251">
      <c r="A60" s="1101" t="s">
        <v>597</v>
      </c>
      <c r="B60" s="1101"/>
      <c r="C60" s="378">
        <f>C62</f>
        <v>212000</v>
      </c>
      <c r="D60" s="378">
        <f>D62</f>
        <v>212000</v>
      </c>
      <c r="E60" s="379">
        <f>E62</f>
        <v>0</v>
      </c>
      <c r="F60" s="368"/>
      <c r="G60" s="378">
        <f>G64</f>
        <v>212000</v>
      </c>
      <c r="H60" s="378">
        <f>H64</f>
        <v>212000</v>
      </c>
      <c r="I60" s="378">
        <f>I64</f>
        <v>0</v>
      </c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77"/>
      <c r="AH60" s="377"/>
      <c r="AI60" s="377"/>
      <c r="AJ60" s="377"/>
      <c r="AK60" s="377"/>
      <c r="AL60" s="377"/>
      <c r="AM60" s="377"/>
      <c r="AN60" s="377"/>
      <c r="AO60" s="377"/>
      <c r="AP60" s="377"/>
      <c r="AQ60" s="377"/>
      <c r="AR60" s="377"/>
      <c r="AS60" s="377"/>
      <c r="AT60" s="377"/>
      <c r="AU60" s="377"/>
      <c r="AV60" s="377"/>
      <c r="AW60" s="377"/>
      <c r="AX60" s="377"/>
      <c r="AY60" s="377"/>
      <c r="AZ60" s="377"/>
      <c r="BA60" s="377"/>
      <c r="BB60" s="377"/>
      <c r="BC60" s="377"/>
      <c r="BD60" s="377"/>
      <c r="BE60" s="377"/>
      <c r="BF60" s="377"/>
      <c r="BG60" s="377"/>
      <c r="BH60" s="377"/>
      <c r="BI60" s="377"/>
      <c r="BJ60" s="377"/>
      <c r="BK60" s="377"/>
      <c r="BL60" s="377"/>
      <c r="BM60" s="377"/>
      <c r="BN60" s="377"/>
      <c r="BO60" s="377"/>
      <c r="BP60" s="377"/>
      <c r="BQ60" s="377"/>
      <c r="BR60" s="377"/>
      <c r="BS60" s="377"/>
      <c r="BT60" s="377"/>
      <c r="BU60" s="377"/>
      <c r="BV60" s="377"/>
      <c r="BW60" s="377"/>
      <c r="BX60" s="377"/>
      <c r="BY60" s="377"/>
      <c r="BZ60" s="377"/>
      <c r="CA60" s="377"/>
      <c r="CB60" s="377"/>
      <c r="CC60" s="377"/>
      <c r="CD60" s="377"/>
      <c r="CE60" s="377"/>
      <c r="CF60" s="377"/>
      <c r="CG60" s="377"/>
      <c r="CH60" s="377"/>
      <c r="CI60" s="377"/>
      <c r="CJ60" s="377"/>
      <c r="CK60" s="377"/>
      <c r="CL60" s="377"/>
      <c r="CM60" s="377"/>
      <c r="CN60" s="377"/>
      <c r="CO60" s="377"/>
      <c r="CP60" s="377"/>
      <c r="CQ60" s="377"/>
      <c r="CR60" s="377"/>
      <c r="CS60" s="377"/>
      <c r="CT60" s="377"/>
      <c r="CU60" s="377"/>
      <c r="CV60" s="377"/>
      <c r="CW60" s="377"/>
      <c r="CX60" s="377"/>
      <c r="CY60" s="377"/>
      <c r="CZ60" s="377"/>
      <c r="DA60" s="377"/>
      <c r="DB60" s="377"/>
      <c r="DC60" s="377"/>
      <c r="DD60" s="377"/>
      <c r="DE60" s="377"/>
      <c r="DF60" s="377"/>
      <c r="DG60" s="377"/>
      <c r="DH60" s="377"/>
      <c r="DI60" s="377"/>
      <c r="DJ60" s="377"/>
      <c r="DK60" s="377"/>
      <c r="DL60" s="377"/>
      <c r="DM60" s="377"/>
      <c r="DN60" s="377"/>
      <c r="DO60" s="377"/>
      <c r="DP60" s="377"/>
      <c r="DQ60" s="377"/>
      <c r="DR60" s="377"/>
      <c r="DS60" s="377"/>
      <c r="DT60" s="377"/>
      <c r="DU60" s="377"/>
      <c r="DV60" s="377"/>
      <c r="DW60" s="377"/>
      <c r="DX60" s="377"/>
      <c r="DY60" s="377"/>
      <c r="DZ60" s="377"/>
      <c r="EA60" s="377"/>
      <c r="EB60" s="377"/>
      <c r="EC60" s="377"/>
      <c r="ED60" s="377"/>
      <c r="EE60" s="377"/>
      <c r="EF60" s="377"/>
      <c r="EG60" s="377"/>
      <c r="EH60" s="377"/>
      <c r="EI60" s="377"/>
      <c r="EJ60" s="377"/>
      <c r="EK60" s="377"/>
      <c r="EL60" s="377"/>
      <c r="EM60" s="377"/>
      <c r="EN60" s="377"/>
      <c r="EO60" s="377"/>
      <c r="EP60" s="377"/>
      <c r="EQ60" s="377"/>
      <c r="ER60" s="377"/>
      <c r="ES60" s="377"/>
      <c r="ET60" s="377"/>
      <c r="EU60" s="377"/>
      <c r="EV60" s="377"/>
      <c r="EW60" s="377"/>
      <c r="EX60" s="377"/>
      <c r="EY60" s="377"/>
      <c r="EZ60" s="377"/>
      <c r="FA60" s="377"/>
      <c r="FB60" s="377"/>
      <c r="FC60" s="377"/>
      <c r="FD60" s="377"/>
      <c r="FE60" s="377"/>
      <c r="FF60" s="377"/>
      <c r="FG60" s="377"/>
      <c r="FH60" s="377"/>
      <c r="FI60" s="377"/>
      <c r="FJ60" s="377"/>
      <c r="FK60" s="377"/>
      <c r="FL60" s="377"/>
      <c r="FM60" s="377"/>
      <c r="FN60" s="377"/>
      <c r="FO60" s="377"/>
      <c r="FP60" s="377"/>
      <c r="FQ60" s="377"/>
      <c r="FR60" s="377"/>
      <c r="FS60" s="377"/>
      <c r="FT60" s="377"/>
      <c r="FU60" s="377"/>
      <c r="FV60" s="377"/>
      <c r="FW60" s="377"/>
      <c r="FX60" s="377"/>
      <c r="FY60" s="377"/>
      <c r="FZ60" s="377"/>
      <c r="GA60" s="377"/>
      <c r="GB60" s="377"/>
      <c r="GC60" s="377"/>
      <c r="GD60" s="377"/>
      <c r="GE60" s="377"/>
      <c r="GF60" s="377"/>
      <c r="GG60" s="377"/>
      <c r="GH60" s="377"/>
      <c r="GI60" s="377"/>
      <c r="GJ60" s="377"/>
      <c r="GK60" s="377"/>
      <c r="GL60" s="377"/>
      <c r="GM60" s="377"/>
      <c r="GN60" s="377"/>
      <c r="GO60" s="377"/>
      <c r="GP60" s="377"/>
      <c r="GQ60" s="377"/>
      <c r="GR60" s="377"/>
      <c r="GS60" s="377"/>
      <c r="GT60" s="377"/>
      <c r="GU60" s="377"/>
      <c r="GV60" s="377"/>
      <c r="GW60" s="377"/>
      <c r="GX60" s="377"/>
      <c r="GY60" s="377"/>
      <c r="GZ60" s="377"/>
      <c r="HA60" s="377"/>
      <c r="HB60" s="377"/>
      <c r="HC60" s="377"/>
      <c r="HD60" s="377"/>
      <c r="HE60" s="377"/>
      <c r="HF60" s="377"/>
      <c r="HG60" s="377"/>
      <c r="HH60" s="377"/>
      <c r="HI60" s="377"/>
      <c r="HJ60" s="377"/>
      <c r="HK60" s="377"/>
      <c r="HL60" s="377"/>
      <c r="HM60" s="377"/>
      <c r="HN60" s="377"/>
      <c r="HO60" s="377"/>
      <c r="HP60" s="377"/>
      <c r="HQ60" s="377"/>
      <c r="HR60" s="377"/>
      <c r="HS60" s="377"/>
      <c r="HT60" s="377"/>
      <c r="HU60" s="377"/>
      <c r="HV60" s="377"/>
      <c r="HW60" s="377"/>
      <c r="HX60" s="377"/>
      <c r="HY60" s="377"/>
      <c r="HZ60" s="377"/>
      <c r="IA60" s="377"/>
      <c r="IB60" s="377"/>
      <c r="IC60" s="377"/>
      <c r="ID60" s="377"/>
      <c r="IE60" s="377"/>
      <c r="IF60" s="377"/>
      <c r="IG60" s="377"/>
      <c r="IH60" s="377"/>
      <c r="II60" s="377"/>
      <c r="IJ60" s="377"/>
      <c r="IK60" s="377"/>
      <c r="IL60" s="377"/>
      <c r="IM60" s="377"/>
      <c r="IN60" s="377"/>
      <c r="IO60" s="377"/>
      <c r="IP60" s="377"/>
      <c r="IQ60" s="377"/>
    </row>
    <row r="61" spans="1:251" ht="9.9499999999999993" customHeight="1">
      <c r="A61" s="369"/>
      <c r="B61" s="398"/>
      <c r="C61" s="371"/>
      <c r="D61" s="371"/>
      <c r="E61" s="372"/>
      <c r="F61" s="368"/>
      <c r="G61" s="399"/>
      <c r="H61" s="399"/>
      <c r="I61" s="399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73"/>
      <c r="AL61" s="373"/>
      <c r="AM61" s="373"/>
      <c r="AN61" s="373"/>
      <c r="AO61" s="373"/>
      <c r="AP61" s="373"/>
      <c r="AQ61" s="373"/>
      <c r="AR61" s="373"/>
      <c r="AS61" s="373"/>
      <c r="AT61" s="373"/>
      <c r="AU61" s="373"/>
      <c r="AV61" s="373"/>
      <c r="AW61" s="373"/>
      <c r="AX61" s="373"/>
      <c r="AY61" s="373"/>
      <c r="AZ61" s="373"/>
      <c r="BA61" s="373"/>
      <c r="BB61" s="373"/>
      <c r="BC61" s="373"/>
      <c r="BD61" s="373"/>
      <c r="BE61" s="373"/>
      <c r="BF61" s="373"/>
      <c r="BG61" s="373"/>
      <c r="BH61" s="373"/>
      <c r="BI61" s="373"/>
      <c r="BJ61" s="373"/>
      <c r="BK61" s="373"/>
      <c r="BL61" s="373"/>
      <c r="BM61" s="373"/>
      <c r="BN61" s="373"/>
      <c r="BO61" s="373"/>
      <c r="BP61" s="373"/>
      <c r="BQ61" s="373"/>
      <c r="BR61" s="373"/>
      <c r="BS61" s="373"/>
      <c r="BT61" s="373"/>
      <c r="BU61" s="373"/>
      <c r="BV61" s="373"/>
      <c r="BW61" s="373"/>
      <c r="BX61" s="373"/>
      <c r="BY61" s="373"/>
      <c r="BZ61" s="373"/>
      <c r="CA61" s="373"/>
      <c r="CB61" s="373"/>
      <c r="CC61" s="373"/>
      <c r="CD61" s="373"/>
      <c r="CE61" s="373"/>
      <c r="CF61" s="373"/>
      <c r="CG61" s="373"/>
      <c r="CH61" s="373"/>
      <c r="CI61" s="373"/>
      <c r="CJ61" s="373"/>
      <c r="CK61" s="373"/>
      <c r="CL61" s="373"/>
      <c r="CM61" s="373"/>
      <c r="CN61" s="373"/>
      <c r="CO61" s="373"/>
      <c r="CP61" s="373"/>
      <c r="CQ61" s="373"/>
      <c r="CR61" s="373"/>
      <c r="CS61" s="373"/>
      <c r="CT61" s="373"/>
      <c r="CU61" s="373"/>
      <c r="CV61" s="373"/>
      <c r="CW61" s="373"/>
      <c r="CX61" s="373"/>
      <c r="CY61" s="373"/>
      <c r="CZ61" s="373"/>
      <c r="DA61" s="373"/>
      <c r="DB61" s="373"/>
      <c r="DC61" s="373"/>
      <c r="DD61" s="373"/>
      <c r="DE61" s="373"/>
      <c r="DF61" s="373"/>
      <c r="DG61" s="373"/>
      <c r="DH61" s="373"/>
      <c r="DI61" s="373"/>
      <c r="DJ61" s="373"/>
      <c r="DK61" s="373"/>
      <c r="DL61" s="373"/>
      <c r="DM61" s="373"/>
      <c r="DN61" s="373"/>
      <c r="DO61" s="373"/>
      <c r="DP61" s="373"/>
      <c r="DQ61" s="373"/>
      <c r="DR61" s="373"/>
      <c r="DS61" s="373"/>
      <c r="DT61" s="373"/>
      <c r="DU61" s="373"/>
      <c r="DV61" s="373"/>
      <c r="DW61" s="373"/>
      <c r="DX61" s="373"/>
      <c r="DY61" s="373"/>
      <c r="DZ61" s="373"/>
      <c r="EA61" s="373"/>
      <c r="EB61" s="373"/>
      <c r="EC61" s="373"/>
      <c r="ED61" s="373"/>
      <c r="EE61" s="373"/>
      <c r="EF61" s="373"/>
      <c r="EG61" s="373"/>
      <c r="EH61" s="373"/>
      <c r="EI61" s="373"/>
      <c r="EJ61" s="373"/>
      <c r="EK61" s="373"/>
      <c r="EL61" s="373"/>
      <c r="EM61" s="373"/>
      <c r="EN61" s="373"/>
      <c r="EO61" s="373"/>
      <c r="EP61" s="373"/>
      <c r="EQ61" s="373"/>
      <c r="ER61" s="373"/>
      <c r="ES61" s="373"/>
      <c r="ET61" s="373"/>
      <c r="EU61" s="373"/>
      <c r="EV61" s="373"/>
      <c r="EW61" s="373"/>
      <c r="EX61" s="373"/>
      <c r="EY61" s="373"/>
      <c r="EZ61" s="373"/>
      <c r="FA61" s="373"/>
      <c r="FB61" s="373"/>
      <c r="FC61" s="373"/>
      <c r="FD61" s="373"/>
      <c r="FE61" s="373"/>
      <c r="FF61" s="373"/>
      <c r="FG61" s="373"/>
      <c r="FH61" s="373"/>
      <c r="FI61" s="373"/>
      <c r="FJ61" s="373"/>
      <c r="FK61" s="373"/>
      <c r="FL61" s="373"/>
      <c r="FM61" s="373"/>
      <c r="FN61" s="373"/>
      <c r="FO61" s="373"/>
      <c r="FP61" s="373"/>
      <c r="FQ61" s="373"/>
      <c r="FR61" s="373"/>
      <c r="FS61" s="373"/>
      <c r="FT61" s="373"/>
      <c r="FU61" s="373"/>
      <c r="FV61" s="373"/>
      <c r="FW61" s="373"/>
      <c r="FX61" s="373"/>
      <c r="FY61" s="373"/>
      <c r="FZ61" s="373"/>
      <c r="GA61" s="373"/>
      <c r="GB61" s="373"/>
      <c r="GC61" s="373"/>
      <c r="GD61" s="373"/>
      <c r="GE61" s="373"/>
      <c r="GF61" s="373"/>
      <c r="GG61" s="373"/>
      <c r="GH61" s="373"/>
      <c r="GI61" s="373"/>
      <c r="GJ61" s="373"/>
      <c r="GK61" s="373"/>
      <c r="GL61" s="373"/>
      <c r="GM61" s="373"/>
      <c r="GN61" s="373"/>
      <c r="GO61" s="373"/>
      <c r="GP61" s="373"/>
      <c r="GQ61" s="373"/>
      <c r="GR61" s="373"/>
      <c r="GS61" s="373"/>
      <c r="GT61" s="373"/>
      <c r="GU61" s="373"/>
      <c r="GV61" s="373"/>
      <c r="GW61" s="373"/>
      <c r="GX61" s="373"/>
      <c r="GY61" s="373"/>
      <c r="GZ61" s="373"/>
      <c r="HA61" s="373"/>
      <c r="HB61" s="373"/>
      <c r="HC61" s="373"/>
      <c r="HD61" s="373"/>
      <c r="HE61" s="373"/>
      <c r="HF61" s="373"/>
      <c r="HG61" s="373"/>
      <c r="HH61" s="373"/>
      <c r="HI61" s="373"/>
      <c r="HJ61" s="373"/>
      <c r="HK61" s="373"/>
      <c r="HL61" s="373"/>
      <c r="HM61" s="373"/>
      <c r="HN61" s="373"/>
      <c r="HO61" s="373"/>
      <c r="HP61" s="373"/>
      <c r="HQ61" s="373"/>
      <c r="HR61" s="373"/>
      <c r="HS61" s="373"/>
      <c r="HT61" s="373"/>
      <c r="HU61" s="373"/>
      <c r="HV61" s="373"/>
      <c r="HW61" s="373"/>
      <c r="HX61" s="373"/>
      <c r="HY61" s="373"/>
      <c r="HZ61" s="373"/>
      <c r="IA61" s="373"/>
      <c r="IB61" s="373"/>
      <c r="IC61" s="373"/>
      <c r="ID61" s="373"/>
      <c r="IE61" s="373"/>
      <c r="IF61" s="373"/>
      <c r="IG61" s="373"/>
      <c r="IH61" s="373"/>
      <c r="II61" s="373"/>
      <c r="IJ61" s="373"/>
      <c r="IK61" s="373"/>
      <c r="IL61" s="373"/>
      <c r="IM61" s="373"/>
      <c r="IN61" s="373"/>
      <c r="IO61" s="373"/>
      <c r="IP61" s="373"/>
      <c r="IQ61" s="373"/>
    </row>
    <row r="62" spans="1:251">
      <c r="A62" s="384"/>
      <c r="B62" s="385" t="s">
        <v>591</v>
      </c>
      <c r="C62" s="356">
        <f>D62+E62</f>
        <v>212000</v>
      </c>
      <c r="D62" s="356">
        <v>212000</v>
      </c>
      <c r="E62" s="376">
        <v>0</v>
      </c>
      <c r="F62" s="368"/>
      <c r="G62" s="386" t="s">
        <v>421</v>
      </c>
      <c r="H62" s="386" t="s">
        <v>421</v>
      </c>
      <c r="I62" s="386" t="s">
        <v>421</v>
      </c>
    </row>
    <row r="63" spans="1:251" ht="9.9499999999999993" customHeight="1">
      <c r="A63" s="352"/>
      <c r="B63" s="390"/>
      <c r="C63" s="354"/>
      <c r="D63" s="354"/>
      <c r="E63" s="355"/>
      <c r="F63" s="368"/>
      <c r="G63" s="356"/>
      <c r="H63" s="356"/>
      <c r="I63" s="356"/>
    </row>
    <row r="64" spans="1:251">
      <c r="A64" s="352"/>
      <c r="B64" s="391" t="s">
        <v>314</v>
      </c>
      <c r="C64" s="392" t="s">
        <v>421</v>
      </c>
      <c r="D64" s="392" t="s">
        <v>421</v>
      </c>
      <c r="E64" s="393" t="s">
        <v>421</v>
      </c>
      <c r="F64" s="368"/>
      <c r="G64" s="356">
        <f>H64+I64</f>
        <v>212000</v>
      </c>
      <c r="H64" s="356">
        <v>212000</v>
      </c>
      <c r="I64" s="356">
        <v>0</v>
      </c>
    </row>
    <row r="65" spans="1:251" s="377" customFormat="1" ht="9.9499999999999993" customHeight="1">
      <c r="A65" s="407"/>
      <c r="B65" s="353"/>
      <c r="C65" s="403"/>
      <c r="D65" s="403"/>
      <c r="E65" s="404"/>
      <c r="F65" s="368"/>
      <c r="G65" s="356"/>
      <c r="H65" s="356"/>
      <c r="I65" s="356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3"/>
      <c r="BV65" s="263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3"/>
      <c r="CV65" s="263"/>
      <c r="CW65" s="263"/>
      <c r="CX65" s="263"/>
      <c r="CY65" s="263"/>
      <c r="CZ65" s="263"/>
      <c r="DA65" s="263"/>
      <c r="DB65" s="263"/>
      <c r="DC65" s="263"/>
      <c r="DD65" s="263"/>
      <c r="DE65" s="263"/>
      <c r="DF65" s="263"/>
      <c r="DG65" s="263"/>
      <c r="DH65" s="263"/>
      <c r="DI65" s="263"/>
      <c r="DJ65" s="263"/>
      <c r="DK65" s="263"/>
      <c r="DL65" s="263"/>
      <c r="DM65" s="263"/>
      <c r="DN65" s="263"/>
      <c r="DO65" s="263"/>
      <c r="DP65" s="263"/>
      <c r="DQ65" s="263"/>
      <c r="DR65" s="263"/>
      <c r="DS65" s="263"/>
      <c r="DT65" s="263"/>
      <c r="DU65" s="263"/>
      <c r="DV65" s="263"/>
      <c r="DW65" s="263"/>
      <c r="DX65" s="263"/>
      <c r="DY65" s="263"/>
      <c r="DZ65" s="263"/>
      <c r="EA65" s="263"/>
      <c r="EB65" s="263"/>
      <c r="EC65" s="263"/>
      <c r="ED65" s="263"/>
      <c r="EE65" s="263"/>
      <c r="EF65" s="263"/>
      <c r="EG65" s="263"/>
      <c r="EH65" s="263"/>
      <c r="EI65" s="263"/>
      <c r="EJ65" s="263"/>
      <c r="EK65" s="263"/>
      <c r="EL65" s="263"/>
      <c r="EM65" s="263"/>
      <c r="EN65" s="263"/>
      <c r="EO65" s="263"/>
      <c r="EP65" s="263"/>
      <c r="EQ65" s="263"/>
      <c r="ER65" s="263"/>
      <c r="ES65" s="263"/>
      <c r="ET65" s="263"/>
      <c r="EU65" s="263"/>
      <c r="EV65" s="263"/>
      <c r="EW65" s="263"/>
      <c r="EX65" s="263"/>
      <c r="EY65" s="263"/>
      <c r="EZ65" s="263"/>
      <c r="FA65" s="263"/>
      <c r="FB65" s="263"/>
      <c r="FC65" s="263"/>
      <c r="FD65" s="263"/>
      <c r="FE65" s="263"/>
      <c r="FF65" s="263"/>
      <c r="FG65" s="263"/>
      <c r="FH65" s="263"/>
      <c r="FI65" s="263"/>
      <c r="FJ65" s="263"/>
      <c r="FK65" s="263"/>
      <c r="FL65" s="263"/>
      <c r="FM65" s="263"/>
      <c r="FN65" s="263"/>
      <c r="FO65" s="263"/>
      <c r="FP65" s="263"/>
      <c r="FQ65" s="263"/>
      <c r="FR65" s="263"/>
      <c r="FS65" s="263"/>
      <c r="FT65" s="263"/>
      <c r="FU65" s="263"/>
      <c r="FV65" s="263"/>
      <c r="FW65" s="263"/>
      <c r="FX65" s="263"/>
      <c r="FY65" s="263"/>
      <c r="FZ65" s="263"/>
      <c r="GA65" s="263"/>
      <c r="GB65" s="263"/>
      <c r="GC65" s="263"/>
      <c r="GD65" s="263"/>
      <c r="GE65" s="263"/>
      <c r="GF65" s="263"/>
      <c r="GG65" s="263"/>
      <c r="GH65" s="263"/>
      <c r="GI65" s="263"/>
      <c r="GJ65" s="263"/>
      <c r="GK65" s="263"/>
      <c r="GL65" s="263"/>
      <c r="GM65" s="263"/>
      <c r="GN65" s="263"/>
      <c r="GO65" s="263"/>
      <c r="GP65" s="263"/>
      <c r="GQ65" s="263"/>
      <c r="GR65" s="263"/>
      <c r="GS65" s="263"/>
      <c r="GT65" s="263"/>
      <c r="GU65" s="263"/>
      <c r="GV65" s="263"/>
      <c r="GW65" s="263"/>
      <c r="GX65" s="263"/>
      <c r="GY65" s="263"/>
      <c r="GZ65" s="263"/>
      <c r="HA65" s="263"/>
      <c r="HB65" s="263"/>
      <c r="HC65" s="263"/>
      <c r="HD65" s="263"/>
      <c r="HE65" s="263"/>
      <c r="HF65" s="263"/>
      <c r="HG65" s="263"/>
      <c r="HH65" s="263"/>
      <c r="HI65" s="263"/>
      <c r="HJ65" s="263"/>
      <c r="HK65" s="263"/>
      <c r="HL65" s="263"/>
      <c r="HM65" s="263"/>
      <c r="HN65" s="263"/>
      <c r="HO65" s="263"/>
      <c r="HP65" s="263"/>
      <c r="HQ65" s="263"/>
      <c r="HR65" s="263"/>
      <c r="HS65" s="263"/>
      <c r="HT65" s="263"/>
      <c r="HU65" s="263"/>
      <c r="HV65" s="263"/>
      <c r="HW65" s="263"/>
      <c r="HX65" s="263"/>
      <c r="HY65" s="263"/>
      <c r="HZ65" s="263"/>
      <c r="IA65" s="263"/>
      <c r="IB65" s="263"/>
      <c r="IC65" s="263"/>
      <c r="ID65" s="263"/>
      <c r="IE65" s="263"/>
      <c r="IF65" s="263"/>
      <c r="IG65" s="263"/>
      <c r="IH65" s="263"/>
      <c r="II65" s="263"/>
      <c r="IJ65" s="263"/>
      <c r="IK65" s="263"/>
      <c r="IL65" s="263"/>
      <c r="IM65" s="263"/>
      <c r="IN65" s="263"/>
      <c r="IO65" s="263"/>
      <c r="IP65" s="263"/>
      <c r="IQ65" s="263"/>
    </row>
    <row r="66" spans="1:251" s="373" customFormat="1" ht="15">
      <c r="A66" s="280" t="s">
        <v>27</v>
      </c>
      <c r="B66" s="362" t="s">
        <v>28</v>
      </c>
      <c r="C66" s="283">
        <f>C68+C76</f>
        <v>437000</v>
      </c>
      <c r="D66" s="283">
        <f>D68+D76</f>
        <v>437000</v>
      </c>
      <c r="E66" s="363">
        <f>E68+E76</f>
        <v>0</v>
      </c>
      <c r="F66" s="360"/>
      <c r="G66" s="283">
        <f>G68+G76</f>
        <v>437000</v>
      </c>
      <c r="H66" s="283">
        <f>H68+H76</f>
        <v>437000</v>
      </c>
      <c r="I66" s="283">
        <f>I68+I76</f>
        <v>0</v>
      </c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85"/>
      <c r="BD66" s="285"/>
      <c r="BE66" s="285"/>
      <c r="BF66" s="285"/>
      <c r="BG66" s="285"/>
      <c r="BH66" s="285"/>
      <c r="BI66" s="285"/>
      <c r="BJ66" s="285"/>
      <c r="BK66" s="285"/>
      <c r="BL66" s="285"/>
      <c r="BM66" s="285"/>
      <c r="BN66" s="285"/>
      <c r="BO66" s="285"/>
      <c r="BP66" s="285"/>
      <c r="BQ66" s="285"/>
      <c r="BR66" s="285"/>
      <c r="BS66" s="285"/>
      <c r="BT66" s="285"/>
      <c r="BU66" s="285"/>
      <c r="BV66" s="285"/>
      <c r="BW66" s="285"/>
      <c r="BX66" s="285"/>
      <c r="BY66" s="285"/>
      <c r="BZ66" s="285"/>
      <c r="CA66" s="285"/>
      <c r="CB66" s="285"/>
      <c r="CC66" s="285"/>
      <c r="CD66" s="285"/>
      <c r="CE66" s="285"/>
      <c r="CF66" s="285"/>
      <c r="CG66" s="285"/>
      <c r="CH66" s="285"/>
      <c r="CI66" s="285"/>
      <c r="CJ66" s="285"/>
      <c r="CK66" s="285"/>
      <c r="CL66" s="285"/>
      <c r="CM66" s="285"/>
      <c r="CN66" s="285"/>
      <c r="CO66" s="285"/>
      <c r="CP66" s="285"/>
      <c r="CQ66" s="285"/>
      <c r="CR66" s="285"/>
      <c r="CS66" s="285"/>
      <c r="CT66" s="285"/>
      <c r="CU66" s="285"/>
      <c r="CV66" s="285"/>
      <c r="CW66" s="285"/>
      <c r="CX66" s="285"/>
      <c r="CY66" s="285"/>
      <c r="CZ66" s="285"/>
      <c r="DA66" s="285"/>
      <c r="DB66" s="285"/>
      <c r="DC66" s="285"/>
      <c r="DD66" s="285"/>
      <c r="DE66" s="285"/>
      <c r="DF66" s="285"/>
      <c r="DG66" s="285"/>
      <c r="DH66" s="285"/>
      <c r="DI66" s="285"/>
      <c r="DJ66" s="285"/>
      <c r="DK66" s="285"/>
      <c r="DL66" s="285"/>
      <c r="DM66" s="285"/>
      <c r="DN66" s="285"/>
      <c r="DO66" s="285"/>
      <c r="DP66" s="285"/>
      <c r="DQ66" s="285"/>
      <c r="DR66" s="285"/>
      <c r="DS66" s="285"/>
      <c r="DT66" s="285"/>
      <c r="DU66" s="285"/>
      <c r="DV66" s="285"/>
      <c r="DW66" s="285"/>
      <c r="DX66" s="285"/>
      <c r="DY66" s="285"/>
      <c r="DZ66" s="285"/>
      <c r="EA66" s="285"/>
      <c r="EB66" s="285"/>
      <c r="EC66" s="285"/>
      <c r="ED66" s="285"/>
      <c r="EE66" s="285"/>
      <c r="EF66" s="285"/>
      <c r="EG66" s="285"/>
      <c r="EH66" s="285"/>
      <c r="EI66" s="285"/>
      <c r="EJ66" s="285"/>
      <c r="EK66" s="285"/>
      <c r="EL66" s="285"/>
      <c r="EM66" s="285"/>
      <c r="EN66" s="285"/>
      <c r="EO66" s="285"/>
      <c r="EP66" s="285"/>
      <c r="EQ66" s="285"/>
      <c r="ER66" s="285"/>
      <c r="ES66" s="285"/>
      <c r="ET66" s="285"/>
      <c r="EU66" s="285"/>
      <c r="EV66" s="285"/>
      <c r="EW66" s="285"/>
      <c r="EX66" s="285"/>
      <c r="EY66" s="285"/>
      <c r="EZ66" s="285"/>
      <c r="FA66" s="285"/>
      <c r="FB66" s="285"/>
      <c r="FC66" s="285"/>
      <c r="FD66" s="285"/>
      <c r="FE66" s="285"/>
      <c r="FF66" s="285"/>
      <c r="FG66" s="285"/>
      <c r="FH66" s="285"/>
      <c r="FI66" s="285"/>
      <c r="FJ66" s="285"/>
      <c r="FK66" s="285"/>
      <c r="FL66" s="285"/>
      <c r="FM66" s="285"/>
      <c r="FN66" s="285"/>
      <c r="FO66" s="285"/>
      <c r="FP66" s="285"/>
      <c r="FQ66" s="285"/>
      <c r="FR66" s="285"/>
      <c r="FS66" s="285"/>
      <c r="FT66" s="285"/>
      <c r="FU66" s="285"/>
      <c r="FV66" s="285"/>
      <c r="FW66" s="285"/>
      <c r="FX66" s="285"/>
      <c r="FY66" s="285"/>
      <c r="FZ66" s="285"/>
      <c r="GA66" s="285"/>
      <c r="GB66" s="285"/>
      <c r="GC66" s="285"/>
      <c r="GD66" s="285"/>
      <c r="GE66" s="285"/>
      <c r="GF66" s="285"/>
      <c r="GG66" s="285"/>
      <c r="GH66" s="285"/>
      <c r="GI66" s="285"/>
      <c r="GJ66" s="285"/>
      <c r="GK66" s="285"/>
      <c r="GL66" s="285"/>
      <c r="GM66" s="285"/>
      <c r="GN66" s="285"/>
      <c r="GO66" s="285"/>
      <c r="GP66" s="285"/>
      <c r="GQ66" s="285"/>
      <c r="GR66" s="285"/>
      <c r="GS66" s="285"/>
      <c r="GT66" s="285"/>
      <c r="GU66" s="285"/>
      <c r="GV66" s="285"/>
      <c r="GW66" s="285"/>
      <c r="GX66" s="285"/>
      <c r="GY66" s="285"/>
      <c r="GZ66" s="285"/>
      <c r="HA66" s="285"/>
      <c r="HB66" s="285"/>
      <c r="HC66" s="285"/>
      <c r="HD66" s="285"/>
      <c r="HE66" s="285"/>
      <c r="HF66" s="285"/>
      <c r="HG66" s="285"/>
      <c r="HH66" s="285"/>
      <c r="HI66" s="285"/>
      <c r="HJ66" s="285"/>
      <c r="HK66" s="285"/>
      <c r="HL66" s="285"/>
      <c r="HM66" s="285"/>
      <c r="HN66" s="285"/>
      <c r="HO66" s="285"/>
      <c r="HP66" s="285"/>
      <c r="HQ66" s="285"/>
      <c r="HR66" s="285"/>
      <c r="HS66" s="285"/>
      <c r="HT66" s="285"/>
      <c r="HU66" s="285"/>
      <c r="HV66" s="285"/>
      <c r="HW66" s="285"/>
      <c r="HX66" s="285"/>
      <c r="HY66" s="285"/>
      <c r="HZ66" s="285"/>
      <c r="IA66" s="285"/>
      <c r="IB66" s="285"/>
      <c r="IC66" s="285"/>
      <c r="ID66" s="285"/>
      <c r="IE66" s="285"/>
      <c r="IF66" s="285"/>
      <c r="IG66" s="285"/>
      <c r="IH66" s="285"/>
      <c r="II66" s="285"/>
      <c r="IJ66" s="285"/>
      <c r="IK66" s="285"/>
      <c r="IL66" s="285"/>
      <c r="IM66" s="285"/>
      <c r="IN66" s="285"/>
      <c r="IO66" s="285"/>
      <c r="IP66" s="285"/>
      <c r="IQ66" s="285"/>
    </row>
    <row r="67" spans="1:251" s="373" customFormat="1" ht="9.9499999999999993" customHeight="1">
      <c r="A67" s="364"/>
      <c r="B67" s="365"/>
      <c r="C67" s="394"/>
      <c r="D67" s="394"/>
      <c r="E67" s="395"/>
      <c r="F67" s="368"/>
      <c r="G67" s="356"/>
      <c r="H67" s="356"/>
      <c r="I67" s="356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3"/>
      <c r="BW67" s="263"/>
      <c r="BX67" s="263"/>
      <c r="BY67" s="263"/>
      <c r="BZ67" s="263"/>
      <c r="CA67" s="263"/>
      <c r="CB67" s="263"/>
      <c r="CC67" s="263"/>
      <c r="CD67" s="263"/>
      <c r="CE67" s="263"/>
      <c r="CF67" s="263"/>
      <c r="CG67" s="263"/>
      <c r="CH67" s="263"/>
      <c r="CI67" s="263"/>
      <c r="CJ67" s="263"/>
      <c r="CK67" s="263"/>
      <c r="CL67" s="263"/>
      <c r="CM67" s="263"/>
      <c r="CN67" s="263"/>
      <c r="CO67" s="263"/>
      <c r="CP67" s="263"/>
      <c r="CQ67" s="263"/>
      <c r="CR67" s="263"/>
      <c r="CS67" s="263"/>
      <c r="CT67" s="263"/>
      <c r="CU67" s="263"/>
      <c r="CV67" s="263"/>
      <c r="CW67" s="263"/>
      <c r="CX67" s="263"/>
      <c r="CY67" s="263"/>
      <c r="CZ67" s="263"/>
      <c r="DA67" s="263"/>
      <c r="DB67" s="263"/>
      <c r="DC67" s="263"/>
      <c r="DD67" s="263"/>
      <c r="DE67" s="263"/>
      <c r="DF67" s="263"/>
      <c r="DG67" s="263"/>
      <c r="DH67" s="263"/>
      <c r="DI67" s="263"/>
      <c r="DJ67" s="263"/>
      <c r="DK67" s="263"/>
      <c r="DL67" s="263"/>
      <c r="DM67" s="263"/>
      <c r="DN67" s="263"/>
      <c r="DO67" s="263"/>
      <c r="DP67" s="263"/>
      <c r="DQ67" s="263"/>
      <c r="DR67" s="263"/>
      <c r="DS67" s="263"/>
      <c r="DT67" s="263"/>
      <c r="DU67" s="263"/>
      <c r="DV67" s="263"/>
      <c r="DW67" s="263"/>
      <c r="DX67" s="263"/>
      <c r="DY67" s="263"/>
      <c r="DZ67" s="263"/>
      <c r="EA67" s="263"/>
      <c r="EB67" s="263"/>
      <c r="EC67" s="263"/>
      <c r="ED67" s="263"/>
      <c r="EE67" s="263"/>
      <c r="EF67" s="263"/>
      <c r="EG67" s="263"/>
      <c r="EH67" s="263"/>
      <c r="EI67" s="263"/>
      <c r="EJ67" s="263"/>
      <c r="EK67" s="263"/>
      <c r="EL67" s="263"/>
      <c r="EM67" s="263"/>
      <c r="EN67" s="263"/>
      <c r="EO67" s="263"/>
      <c r="EP67" s="263"/>
      <c r="EQ67" s="263"/>
      <c r="ER67" s="263"/>
      <c r="ES67" s="263"/>
      <c r="ET67" s="263"/>
      <c r="EU67" s="263"/>
      <c r="EV67" s="263"/>
      <c r="EW67" s="263"/>
      <c r="EX67" s="263"/>
      <c r="EY67" s="263"/>
      <c r="EZ67" s="263"/>
      <c r="FA67" s="263"/>
      <c r="FB67" s="263"/>
      <c r="FC67" s="263"/>
      <c r="FD67" s="263"/>
      <c r="FE67" s="263"/>
      <c r="FF67" s="263"/>
      <c r="FG67" s="263"/>
      <c r="FH67" s="263"/>
      <c r="FI67" s="263"/>
      <c r="FJ67" s="263"/>
      <c r="FK67" s="263"/>
      <c r="FL67" s="263"/>
      <c r="FM67" s="263"/>
      <c r="FN67" s="263"/>
      <c r="FO67" s="263"/>
      <c r="FP67" s="263"/>
      <c r="FQ67" s="263"/>
      <c r="FR67" s="263"/>
      <c r="FS67" s="263"/>
      <c r="FT67" s="263"/>
      <c r="FU67" s="263"/>
      <c r="FV67" s="263"/>
      <c r="FW67" s="263"/>
      <c r="FX67" s="263"/>
      <c r="FY67" s="263"/>
      <c r="FZ67" s="263"/>
      <c r="GA67" s="263"/>
      <c r="GB67" s="263"/>
      <c r="GC67" s="263"/>
      <c r="GD67" s="263"/>
      <c r="GE67" s="263"/>
      <c r="GF67" s="263"/>
      <c r="GG67" s="263"/>
      <c r="GH67" s="263"/>
      <c r="GI67" s="263"/>
      <c r="GJ67" s="263"/>
      <c r="GK67" s="263"/>
      <c r="GL67" s="263"/>
      <c r="GM67" s="263"/>
      <c r="GN67" s="263"/>
      <c r="GO67" s="263"/>
      <c r="GP67" s="263"/>
      <c r="GQ67" s="263"/>
      <c r="GR67" s="263"/>
      <c r="GS67" s="263"/>
      <c r="GT67" s="263"/>
      <c r="GU67" s="263"/>
      <c r="GV67" s="263"/>
      <c r="GW67" s="263"/>
      <c r="GX67" s="263"/>
      <c r="GY67" s="263"/>
      <c r="GZ67" s="263"/>
      <c r="HA67" s="263"/>
      <c r="HB67" s="263"/>
      <c r="HC67" s="263"/>
      <c r="HD67" s="263"/>
      <c r="HE67" s="263"/>
      <c r="HF67" s="263"/>
      <c r="HG67" s="263"/>
      <c r="HH67" s="263"/>
      <c r="HI67" s="263"/>
      <c r="HJ67" s="263"/>
      <c r="HK67" s="263"/>
      <c r="HL67" s="263"/>
      <c r="HM67" s="263"/>
      <c r="HN67" s="263"/>
      <c r="HO67" s="263"/>
      <c r="HP67" s="263"/>
      <c r="HQ67" s="263"/>
      <c r="HR67" s="263"/>
      <c r="HS67" s="263"/>
      <c r="HT67" s="263"/>
      <c r="HU67" s="263"/>
      <c r="HV67" s="263"/>
      <c r="HW67" s="263"/>
      <c r="HX67" s="263"/>
      <c r="HY67" s="263"/>
      <c r="HZ67" s="263"/>
      <c r="IA67" s="263"/>
      <c r="IB67" s="263"/>
      <c r="IC67" s="263"/>
      <c r="ID67" s="263"/>
      <c r="IE67" s="263"/>
      <c r="IF67" s="263"/>
      <c r="IG67" s="263"/>
      <c r="IH67" s="263"/>
      <c r="II67" s="263"/>
      <c r="IJ67" s="263"/>
      <c r="IK67" s="263"/>
      <c r="IL67" s="263"/>
      <c r="IM67" s="263"/>
      <c r="IN67" s="263"/>
      <c r="IO67" s="263"/>
      <c r="IP67" s="263"/>
      <c r="IQ67" s="263"/>
    </row>
    <row r="68" spans="1:251">
      <c r="A68" s="369" t="s">
        <v>341</v>
      </c>
      <c r="B68" s="370" t="s">
        <v>50</v>
      </c>
      <c r="C68" s="371">
        <f>C70</f>
        <v>317000</v>
      </c>
      <c r="D68" s="371">
        <f>D70</f>
        <v>317000</v>
      </c>
      <c r="E68" s="372">
        <f>E70</f>
        <v>0</v>
      </c>
      <c r="F68" s="368"/>
      <c r="G68" s="371">
        <f>G70</f>
        <v>317000</v>
      </c>
      <c r="H68" s="371">
        <f>H70</f>
        <v>317000</v>
      </c>
      <c r="I68" s="371">
        <f>I70</f>
        <v>0</v>
      </c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3"/>
      <c r="AD68" s="373"/>
      <c r="AE68" s="373"/>
      <c r="AF68" s="373"/>
      <c r="AG68" s="373"/>
      <c r="AH68" s="373"/>
      <c r="AI68" s="373"/>
      <c r="AJ68" s="373"/>
      <c r="AK68" s="373"/>
      <c r="AL68" s="373"/>
      <c r="AM68" s="373"/>
      <c r="AN68" s="373"/>
      <c r="AO68" s="373"/>
      <c r="AP68" s="373"/>
      <c r="AQ68" s="373"/>
      <c r="AR68" s="373"/>
      <c r="AS68" s="373"/>
      <c r="AT68" s="373"/>
      <c r="AU68" s="373"/>
      <c r="AV68" s="373"/>
      <c r="AW68" s="373"/>
      <c r="AX68" s="373"/>
      <c r="AY68" s="373"/>
      <c r="AZ68" s="373"/>
      <c r="BA68" s="373"/>
      <c r="BB68" s="373"/>
      <c r="BC68" s="373"/>
      <c r="BD68" s="373"/>
      <c r="BE68" s="373"/>
      <c r="BF68" s="373"/>
      <c r="BG68" s="373"/>
      <c r="BH68" s="373"/>
      <c r="BI68" s="373"/>
      <c r="BJ68" s="373"/>
      <c r="BK68" s="373"/>
      <c r="BL68" s="373"/>
      <c r="BM68" s="373"/>
      <c r="BN68" s="373"/>
      <c r="BO68" s="373"/>
      <c r="BP68" s="373"/>
      <c r="BQ68" s="373"/>
      <c r="BR68" s="373"/>
      <c r="BS68" s="373"/>
      <c r="BT68" s="373"/>
      <c r="BU68" s="373"/>
      <c r="BV68" s="373"/>
      <c r="BW68" s="373"/>
      <c r="BX68" s="373"/>
      <c r="BY68" s="373"/>
      <c r="BZ68" s="373"/>
      <c r="CA68" s="373"/>
      <c r="CB68" s="373"/>
      <c r="CC68" s="373"/>
      <c r="CD68" s="373"/>
      <c r="CE68" s="373"/>
      <c r="CF68" s="373"/>
      <c r="CG68" s="373"/>
      <c r="CH68" s="373"/>
      <c r="CI68" s="373"/>
      <c r="CJ68" s="373"/>
      <c r="CK68" s="373"/>
      <c r="CL68" s="373"/>
      <c r="CM68" s="373"/>
      <c r="CN68" s="373"/>
      <c r="CO68" s="373"/>
      <c r="CP68" s="373"/>
      <c r="CQ68" s="373"/>
      <c r="CR68" s="373"/>
      <c r="CS68" s="373"/>
      <c r="CT68" s="373"/>
      <c r="CU68" s="373"/>
      <c r="CV68" s="373"/>
      <c r="CW68" s="373"/>
      <c r="CX68" s="373"/>
      <c r="CY68" s="373"/>
      <c r="CZ68" s="373"/>
      <c r="DA68" s="373"/>
      <c r="DB68" s="373"/>
      <c r="DC68" s="373"/>
      <c r="DD68" s="373"/>
      <c r="DE68" s="373"/>
      <c r="DF68" s="373"/>
      <c r="DG68" s="373"/>
      <c r="DH68" s="373"/>
      <c r="DI68" s="373"/>
      <c r="DJ68" s="373"/>
      <c r="DK68" s="373"/>
      <c r="DL68" s="373"/>
      <c r="DM68" s="373"/>
      <c r="DN68" s="373"/>
      <c r="DO68" s="373"/>
      <c r="DP68" s="373"/>
      <c r="DQ68" s="373"/>
      <c r="DR68" s="373"/>
      <c r="DS68" s="373"/>
      <c r="DT68" s="373"/>
      <c r="DU68" s="373"/>
      <c r="DV68" s="373"/>
      <c r="DW68" s="373"/>
      <c r="DX68" s="373"/>
      <c r="DY68" s="373"/>
      <c r="DZ68" s="373"/>
      <c r="EA68" s="373"/>
      <c r="EB68" s="373"/>
      <c r="EC68" s="373"/>
      <c r="ED68" s="373"/>
      <c r="EE68" s="373"/>
      <c r="EF68" s="373"/>
      <c r="EG68" s="373"/>
      <c r="EH68" s="373"/>
      <c r="EI68" s="373"/>
      <c r="EJ68" s="373"/>
      <c r="EK68" s="373"/>
      <c r="EL68" s="373"/>
      <c r="EM68" s="373"/>
      <c r="EN68" s="373"/>
      <c r="EO68" s="373"/>
      <c r="EP68" s="373"/>
      <c r="EQ68" s="373"/>
      <c r="ER68" s="373"/>
      <c r="ES68" s="373"/>
      <c r="ET68" s="373"/>
      <c r="EU68" s="373"/>
      <c r="EV68" s="373"/>
      <c r="EW68" s="373"/>
      <c r="EX68" s="373"/>
      <c r="EY68" s="373"/>
      <c r="EZ68" s="373"/>
      <c r="FA68" s="373"/>
      <c r="FB68" s="373"/>
      <c r="FC68" s="373"/>
      <c r="FD68" s="373"/>
      <c r="FE68" s="373"/>
      <c r="FF68" s="373"/>
      <c r="FG68" s="373"/>
      <c r="FH68" s="373"/>
      <c r="FI68" s="373"/>
      <c r="FJ68" s="373"/>
      <c r="FK68" s="373"/>
      <c r="FL68" s="373"/>
      <c r="FM68" s="373"/>
      <c r="FN68" s="373"/>
      <c r="FO68" s="373"/>
      <c r="FP68" s="373"/>
      <c r="FQ68" s="373"/>
      <c r="FR68" s="373"/>
      <c r="FS68" s="373"/>
      <c r="FT68" s="373"/>
      <c r="FU68" s="373"/>
      <c r="FV68" s="373"/>
      <c r="FW68" s="373"/>
      <c r="FX68" s="373"/>
      <c r="FY68" s="373"/>
      <c r="FZ68" s="373"/>
      <c r="GA68" s="373"/>
      <c r="GB68" s="373"/>
      <c r="GC68" s="373"/>
      <c r="GD68" s="373"/>
      <c r="GE68" s="373"/>
      <c r="GF68" s="373"/>
      <c r="GG68" s="373"/>
      <c r="GH68" s="373"/>
      <c r="GI68" s="373"/>
      <c r="GJ68" s="373"/>
      <c r="GK68" s="373"/>
      <c r="GL68" s="373"/>
      <c r="GM68" s="373"/>
      <c r="GN68" s="373"/>
      <c r="GO68" s="373"/>
      <c r="GP68" s="373"/>
      <c r="GQ68" s="373"/>
      <c r="GR68" s="373"/>
      <c r="GS68" s="373"/>
      <c r="GT68" s="373"/>
      <c r="GU68" s="373"/>
      <c r="GV68" s="373"/>
      <c r="GW68" s="373"/>
      <c r="GX68" s="373"/>
      <c r="GY68" s="373"/>
      <c r="GZ68" s="373"/>
      <c r="HA68" s="373"/>
      <c r="HB68" s="373"/>
      <c r="HC68" s="373"/>
      <c r="HD68" s="373"/>
      <c r="HE68" s="373"/>
      <c r="HF68" s="373"/>
      <c r="HG68" s="373"/>
      <c r="HH68" s="373"/>
      <c r="HI68" s="373"/>
      <c r="HJ68" s="373"/>
      <c r="HK68" s="373"/>
      <c r="HL68" s="373"/>
      <c r="HM68" s="373"/>
      <c r="HN68" s="373"/>
      <c r="HO68" s="373"/>
      <c r="HP68" s="373"/>
      <c r="HQ68" s="373"/>
      <c r="HR68" s="373"/>
      <c r="HS68" s="373"/>
      <c r="HT68" s="373"/>
      <c r="HU68" s="373"/>
      <c r="HV68" s="373"/>
      <c r="HW68" s="373"/>
      <c r="HX68" s="373"/>
      <c r="HY68" s="373"/>
      <c r="HZ68" s="373"/>
      <c r="IA68" s="373"/>
      <c r="IB68" s="373"/>
      <c r="IC68" s="373"/>
      <c r="ID68" s="373"/>
      <c r="IE68" s="373"/>
      <c r="IF68" s="373"/>
      <c r="IG68" s="373"/>
      <c r="IH68" s="373"/>
      <c r="II68" s="373"/>
      <c r="IJ68" s="373"/>
      <c r="IK68" s="373"/>
      <c r="IL68" s="373"/>
      <c r="IM68" s="373"/>
      <c r="IN68" s="373"/>
      <c r="IO68" s="373"/>
      <c r="IP68" s="373"/>
      <c r="IQ68" s="373"/>
    </row>
    <row r="69" spans="1:251" ht="9.9499999999999993" customHeight="1">
      <c r="A69" s="374"/>
      <c r="B69" s="375"/>
      <c r="C69" s="396"/>
      <c r="D69" s="396"/>
      <c r="E69" s="397"/>
      <c r="F69" s="368"/>
      <c r="G69" s="356"/>
      <c r="H69" s="356"/>
      <c r="I69" s="356"/>
    </row>
    <row r="70" spans="1:251">
      <c r="A70" s="1099" t="s">
        <v>598</v>
      </c>
      <c r="B70" s="1099"/>
      <c r="C70" s="378">
        <f>C72</f>
        <v>317000</v>
      </c>
      <c r="D70" s="378">
        <f>D72</f>
        <v>317000</v>
      </c>
      <c r="E70" s="379">
        <f>E72</f>
        <v>0</v>
      </c>
      <c r="F70" s="368"/>
      <c r="G70" s="378">
        <f>G74</f>
        <v>317000</v>
      </c>
      <c r="H70" s="378">
        <f>H74</f>
        <v>317000</v>
      </c>
      <c r="I70" s="378">
        <f>I74</f>
        <v>0</v>
      </c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7"/>
      <c r="AD70" s="377"/>
      <c r="AE70" s="377"/>
      <c r="AF70" s="377"/>
      <c r="AG70" s="377"/>
      <c r="AH70" s="377"/>
      <c r="AI70" s="377"/>
      <c r="AJ70" s="377"/>
      <c r="AK70" s="377"/>
      <c r="AL70" s="377"/>
      <c r="AM70" s="377"/>
      <c r="AN70" s="377"/>
      <c r="AO70" s="377"/>
      <c r="AP70" s="377"/>
      <c r="AQ70" s="377"/>
      <c r="AR70" s="377"/>
      <c r="AS70" s="377"/>
      <c r="AT70" s="377"/>
      <c r="AU70" s="377"/>
      <c r="AV70" s="377"/>
      <c r="AW70" s="377"/>
      <c r="AX70" s="377"/>
      <c r="AY70" s="377"/>
      <c r="AZ70" s="377"/>
      <c r="BA70" s="377"/>
      <c r="BB70" s="377"/>
      <c r="BC70" s="377"/>
      <c r="BD70" s="377"/>
      <c r="BE70" s="377"/>
      <c r="BF70" s="377"/>
      <c r="BG70" s="377"/>
      <c r="BH70" s="377"/>
      <c r="BI70" s="377"/>
      <c r="BJ70" s="377"/>
      <c r="BK70" s="377"/>
      <c r="BL70" s="377"/>
      <c r="BM70" s="377"/>
      <c r="BN70" s="377"/>
      <c r="BO70" s="377"/>
      <c r="BP70" s="377"/>
      <c r="BQ70" s="377"/>
      <c r="BR70" s="377"/>
      <c r="BS70" s="377"/>
      <c r="BT70" s="377"/>
      <c r="BU70" s="377"/>
      <c r="BV70" s="377"/>
      <c r="BW70" s="377"/>
      <c r="BX70" s="377"/>
      <c r="BY70" s="377"/>
      <c r="BZ70" s="377"/>
      <c r="CA70" s="377"/>
      <c r="CB70" s="377"/>
      <c r="CC70" s="377"/>
      <c r="CD70" s="377"/>
      <c r="CE70" s="377"/>
      <c r="CF70" s="377"/>
      <c r="CG70" s="377"/>
      <c r="CH70" s="377"/>
      <c r="CI70" s="377"/>
      <c r="CJ70" s="377"/>
      <c r="CK70" s="377"/>
      <c r="CL70" s="377"/>
      <c r="CM70" s="377"/>
      <c r="CN70" s="377"/>
      <c r="CO70" s="377"/>
      <c r="CP70" s="377"/>
      <c r="CQ70" s="377"/>
      <c r="CR70" s="377"/>
      <c r="CS70" s="377"/>
      <c r="CT70" s="377"/>
      <c r="CU70" s="377"/>
      <c r="CV70" s="377"/>
      <c r="CW70" s="377"/>
      <c r="CX70" s="377"/>
      <c r="CY70" s="377"/>
      <c r="CZ70" s="377"/>
      <c r="DA70" s="377"/>
      <c r="DB70" s="377"/>
      <c r="DC70" s="377"/>
      <c r="DD70" s="377"/>
      <c r="DE70" s="377"/>
      <c r="DF70" s="377"/>
      <c r="DG70" s="377"/>
      <c r="DH70" s="377"/>
      <c r="DI70" s="377"/>
      <c r="DJ70" s="377"/>
      <c r="DK70" s="377"/>
      <c r="DL70" s="377"/>
      <c r="DM70" s="377"/>
      <c r="DN70" s="377"/>
      <c r="DO70" s="377"/>
      <c r="DP70" s="377"/>
      <c r="DQ70" s="377"/>
      <c r="DR70" s="377"/>
      <c r="DS70" s="377"/>
      <c r="DT70" s="377"/>
      <c r="DU70" s="377"/>
      <c r="DV70" s="377"/>
      <c r="DW70" s="377"/>
      <c r="DX70" s="377"/>
      <c r="DY70" s="377"/>
      <c r="DZ70" s="377"/>
      <c r="EA70" s="377"/>
      <c r="EB70" s="377"/>
      <c r="EC70" s="377"/>
      <c r="ED70" s="377"/>
      <c r="EE70" s="377"/>
      <c r="EF70" s="377"/>
      <c r="EG70" s="377"/>
      <c r="EH70" s="377"/>
      <c r="EI70" s="377"/>
      <c r="EJ70" s="377"/>
      <c r="EK70" s="377"/>
      <c r="EL70" s="377"/>
      <c r="EM70" s="377"/>
      <c r="EN70" s="377"/>
      <c r="EO70" s="377"/>
      <c r="EP70" s="377"/>
      <c r="EQ70" s="377"/>
      <c r="ER70" s="377"/>
      <c r="ES70" s="377"/>
      <c r="ET70" s="377"/>
      <c r="EU70" s="377"/>
      <c r="EV70" s="377"/>
      <c r="EW70" s="377"/>
      <c r="EX70" s="377"/>
      <c r="EY70" s="377"/>
      <c r="EZ70" s="377"/>
      <c r="FA70" s="377"/>
      <c r="FB70" s="377"/>
      <c r="FC70" s="377"/>
      <c r="FD70" s="377"/>
      <c r="FE70" s="377"/>
      <c r="FF70" s="377"/>
      <c r="FG70" s="377"/>
      <c r="FH70" s="377"/>
      <c r="FI70" s="377"/>
      <c r="FJ70" s="377"/>
      <c r="FK70" s="377"/>
      <c r="FL70" s="377"/>
      <c r="FM70" s="377"/>
      <c r="FN70" s="377"/>
      <c r="FO70" s="377"/>
      <c r="FP70" s="377"/>
      <c r="FQ70" s="377"/>
      <c r="FR70" s="377"/>
      <c r="FS70" s="377"/>
      <c r="FT70" s="377"/>
      <c r="FU70" s="377"/>
      <c r="FV70" s="377"/>
      <c r="FW70" s="377"/>
      <c r="FX70" s="377"/>
      <c r="FY70" s="377"/>
      <c r="FZ70" s="377"/>
      <c r="GA70" s="377"/>
      <c r="GB70" s="377"/>
      <c r="GC70" s="377"/>
      <c r="GD70" s="377"/>
      <c r="GE70" s="377"/>
      <c r="GF70" s="377"/>
      <c r="GG70" s="377"/>
      <c r="GH70" s="377"/>
      <c r="GI70" s="377"/>
      <c r="GJ70" s="377"/>
      <c r="GK70" s="377"/>
      <c r="GL70" s="377"/>
      <c r="GM70" s="377"/>
      <c r="GN70" s="377"/>
      <c r="GO70" s="377"/>
      <c r="GP70" s="377"/>
      <c r="GQ70" s="377"/>
      <c r="GR70" s="377"/>
      <c r="GS70" s="377"/>
      <c r="GT70" s="377"/>
      <c r="GU70" s="377"/>
      <c r="GV70" s="377"/>
      <c r="GW70" s="377"/>
      <c r="GX70" s="377"/>
      <c r="GY70" s="377"/>
      <c r="GZ70" s="377"/>
      <c r="HA70" s="377"/>
      <c r="HB70" s="377"/>
      <c r="HC70" s="377"/>
      <c r="HD70" s="377"/>
      <c r="HE70" s="377"/>
      <c r="HF70" s="377"/>
      <c r="HG70" s="377"/>
      <c r="HH70" s="377"/>
      <c r="HI70" s="377"/>
      <c r="HJ70" s="377"/>
      <c r="HK70" s="377"/>
      <c r="HL70" s="377"/>
      <c r="HM70" s="377"/>
      <c r="HN70" s="377"/>
      <c r="HO70" s="377"/>
      <c r="HP70" s="377"/>
      <c r="HQ70" s="377"/>
      <c r="HR70" s="377"/>
      <c r="HS70" s="377"/>
      <c r="HT70" s="377"/>
      <c r="HU70" s="377"/>
      <c r="HV70" s="377"/>
      <c r="HW70" s="377"/>
      <c r="HX70" s="377"/>
      <c r="HY70" s="377"/>
      <c r="HZ70" s="377"/>
      <c r="IA70" s="377"/>
      <c r="IB70" s="377"/>
      <c r="IC70" s="377"/>
      <c r="ID70" s="377"/>
      <c r="IE70" s="377"/>
      <c r="IF70" s="377"/>
      <c r="IG70" s="377"/>
      <c r="IH70" s="377"/>
      <c r="II70" s="377"/>
      <c r="IJ70" s="377"/>
      <c r="IK70" s="377"/>
      <c r="IL70" s="377"/>
      <c r="IM70" s="377"/>
      <c r="IN70" s="377"/>
      <c r="IO70" s="377"/>
      <c r="IP70" s="377"/>
      <c r="IQ70" s="377"/>
    </row>
    <row r="71" spans="1:251" s="373" customFormat="1" ht="9.9499999999999993" customHeight="1">
      <c r="A71" s="369"/>
      <c r="B71" s="398"/>
      <c r="C71" s="371"/>
      <c r="D71" s="371"/>
      <c r="E71" s="372"/>
      <c r="F71" s="368"/>
      <c r="G71" s="399"/>
      <c r="H71" s="399"/>
      <c r="I71" s="399"/>
    </row>
    <row r="72" spans="1:251">
      <c r="A72" s="384"/>
      <c r="B72" s="385" t="s">
        <v>591</v>
      </c>
      <c r="C72" s="356">
        <f>D72+E72</f>
        <v>317000</v>
      </c>
      <c r="D72" s="356">
        <v>317000</v>
      </c>
      <c r="E72" s="376">
        <v>0</v>
      </c>
      <c r="F72" s="368"/>
      <c r="G72" s="386" t="s">
        <v>421</v>
      </c>
      <c r="H72" s="386" t="s">
        <v>421</v>
      </c>
      <c r="I72" s="386" t="s">
        <v>421</v>
      </c>
    </row>
    <row r="73" spans="1:251" ht="9.9499999999999993" customHeight="1">
      <c r="A73" s="384"/>
      <c r="B73" s="385"/>
      <c r="C73" s="356"/>
      <c r="D73" s="356"/>
      <c r="E73" s="376"/>
      <c r="F73" s="368"/>
      <c r="G73" s="356"/>
      <c r="H73" s="356"/>
      <c r="I73" s="356"/>
    </row>
    <row r="74" spans="1:251">
      <c r="A74" s="384"/>
      <c r="B74" s="391" t="s">
        <v>314</v>
      </c>
      <c r="C74" s="386" t="s">
        <v>421</v>
      </c>
      <c r="D74" s="386" t="s">
        <v>421</v>
      </c>
      <c r="E74" s="400" t="s">
        <v>421</v>
      </c>
      <c r="F74" s="368"/>
      <c r="G74" s="356">
        <f>H74+I74</f>
        <v>317000</v>
      </c>
      <c r="H74" s="356">
        <v>317000</v>
      </c>
      <c r="I74" s="356">
        <v>0</v>
      </c>
    </row>
    <row r="75" spans="1:251" ht="9.9499999999999993" customHeight="1">
      <c r="A75" s="384"/>
      <c r="B75" s="385"/>
      <c r="C75" s="356"/>
      <c r="D75" s="356"/>
      <c r="E75" s="376"/>
      <c r="F75" s="368"/>
      <c r="G75" s="356"/>
      <c r="H75" s="356"/>
      <c r="I75" s="356"/>
    </row>
    <row r="76" spans="1:251">
      <c r="A76" s="369" t="s">
        <v>342</v>
      </c>
      <c r="B76" s="370" t="s">
        <v>51</v>
      </c>
      <c r="C76" s="371">
        <f>C78</f>
        <v>120000</v>
      </c>
      <c r="D76" s="371">
        <f>D78</f>
        <v>120000</v>
      </c>
      <c r="E76" s="372">
        <f>E78</f>
        <v>0</v>
      </c>
      <c r="F76" s="368"/>
      <c r="G76" s="371">
        <f>G78</f>
        <v>120000</v>
      </c>
      <c r="H76" s="371">
        <f>H78</f>
        <v>120000</v>
      </c>
      <c r="I76" s="371">
        <f>I78</f>
        <v>0</v>
      </c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  <c r="AW76" s="373"/>
      <c r="AX76" s="373"/>
      <c r="AY76" s="373"/>
      <c r="AZ76" s="373"/>
      <c r="BA76" s="373"/>
      <c r="BB76" s="373"/>
      <c r="BC76" s="373"/>
      <c r="BD76" s="373"/>
      <c r="BE76" s="373"/>
      <c r="BF76" s="373"/>
      <c r="BG76" s="373"/>
      <c r="BH76" s="373"/>
      <c r="BI76" s="373"/>
      <c r="BJ76" s="373"/>
      <c r="BK76" s="373"/>
      <c r="BL76" s="373"/>
      <c r="BM76" s="373"/>
      <c r="BN76" s="373"/>
      <c r="BO76" s="373"/>
      <c r="BP76" s="373"/>
      <c r="BQ76" s="373"/>
      <c r="BR76" s="373"/>
      <c r="BS76" s="373"/>
      <c r="BT76" s="373"/>
      <c r="BU76" s="373"/>
      <c r="BV76" s="373"/>
      <c r="BW76" s="373"/>
      <c r="BX76" s="373"/>
      <c r="BY76" s="373"/>
      <c r="BZ76" s="373"/>
      <c r="CA76" s="373"/>
      <c r="CB76" s="373"/>
      <c r="CC76" s="373"/>
      <c r="CD76" s="373"/>
      <c r="CE76" s="373"/>
      <c r="CF76" s="373"/>
      <c r="CG76" s="373"/>
      <c r="CH76" s="373"/>
      <c r="CI76" s="373"/>
      <c r="CJ76" s="373"/>
      <c r="CK76" s="373"/>
      <c r="CL76" s="373"/>
      <c r="CM76" s="373"/>
      <c r="CN76" s="373"/>
      <c r="CO76" s="373"/>
      <c r="CP76" s="373"/>
      <c r="CQ76" s="373"/>
      <c r="CR76" s="373"/>
      <c r="CS76" s="373"/>
      <c r="CT76" s="373"/>
      <c r="CU76" s="373"/>
      <c r="CV76" s="373"/>
      <c r="CW76" s="373"/>
      <c r="CX76" s="373"/>
      <c r="CY76" s="373"/>
      <c r="CZ76" s="373"/>
      <c r="DA76" s="373"/>
      <c r="DB76" s="373"/>
      <c r="DC76" s="373"/>
      <c r="DD76" s="373"/>
      <c r="DE76" s="373"/>
      <c r="DF76" s="373"/>
      <c r="DG76" s="373"/>
      <c r="DH76" s="373"/>
      <c r="DI76" s="373"/>
      <c r="DJ76" s="373"/>
      <c r="DK76" s="373"/>
      <c r="DL76" s="373"/>
      <c r="DM76" s="373"/>
      <c r="DN76" s="373"/>
      <c r="DO76" s="373"/>
      <c r="DP76" s="373"/>
      <c r="DQ76" s="373"/>
      <c r="DR76" s="373"/>
      <c r="DS76" s="373"/>
      <c r="DT76" s="373"/>
      <c r="DU76" s="373"/>
      <c r="DV76" s="373"/>
      <c r="DW76" s="373"/>
      <c r="DX76" s="373"/>
      <c r="DY76" s="373"/>
      <c r="DZ76" s="373"/>
      <c r="EA76" s="373"/>
      <c r="EB76" s="373"/>
      <c r="EC76" s="373"/>
      <c r="ED76" s="373"/>
      <c r="EE76" s="373"/>
      <c r="EF76" s="373"/>
      <c r="EG76" s="373"/>
      <c r="EH76" s="373"/>
      <c r="EI76" s="373"/>
      <c r="EJ76" s="373"/>
      <c r="EK76" s="373"/>
      <c r="EL76" s="373"/>
      <c r="EM76" s="373"/>
      <c r="EN76" s="373"/>
      <c r="EO76" s="373"/>
      <c r="EP76" s="373"/>
      <c r="EQ76" s="373"/>
      <c r="ER76" s="373"/>
      <c r="ES76" s="373"/>
      <c r="ET76" s="373"/>
      <c r="EU76" s="373"/>
      <c r="EV76" s="373"/>
      <c r="EW76" s="373"/>
      <c r="EX76" s="373"/>
      <c r="EY76" s="373"/>
      <c r="EZ76" s="373"/>
      <c r="FA76" s="373"/>
      <c r="FB76" s="373"/>
      <c r="FC76" s="373"/>
      <c r="FD76" s="373"/>
      <c r="FE76" s="373"/>
      <c r="FF76" s="373"/>
      <c r="FG76" s="373"/>
      <c r="FH76" s="373"/>
      <c r="FI76" s="373"/>
      <c r="FJ76" s="373"/>
      <c r="FK76" s="373"/>
      <c r="FL76" s="373"/>
      <c r="FM76" s="373"/>
      <c r="FN76" s="373"/>
      <c r="FO76" s="373"/>
      <c r="FP76" s="373"/>
      <c r="FQ76" s="373"/>
      <c r="FR76" s="373"/>
      <c r="FS76" s="373"/>
      <c r="FT76" s="373"/>
      <c r="FU76" s="373"/>
      <c r="FV76" s="373"/>
      <c r="FW76" s="373"/>
      <c r="FX76" s="373"/>
      <c r="FY76" s="373"/>
      <c r="FZ76" s="373"/>
      <c r="GA76" s="373"/>
      <c r="GB76" s="373"/>
      <c r="GC76" s="373"/>
      <c r="GD76" s="373"/>
      <c r="GE76" s="373"/>
      <c r="GF76" s="373"/>
      <c r="GG76" s="373"/>
      <c r="GH76" s="373"/>
      <c r="GI76" s="373"/>
      <c r="GJ76" s="373"/>
      <c r="GK76" s="373"/>
      <c r="GL76" s="373"/>
      <c r="GM76" s="373"/>
      <c r="GN76" s="373"/>
      <c r="GO76" s="373"/>
      <c r="GP76" s="373"/>
      <c r="GQ76" s="373"/>
      <c r="GR76" s="373"/>
      <c r="GS76" s="373"/>
      <c r="GT76" s="373"/>
      <c r="GU76" s="373"/>
      <c r="GV76" s="373"/>
      <c r="GW76" s="373"/>
      <c r="GX76" s="373"/>
      <c r="GY76" s="373"/>
      <c r="GZ76" s="373"/>
      <c r="HA76" s="373"/>
      <c r="HB76" s="373"/>
      <c r="HC76" s="373"/>
      <c r="HD76" s="373"/>
      <c r="HE76" s="373"/>
      <c r="HF76" s="373"/>
      <c r="HG76" s="373"/>
      <c r="HH76" s="373"/>
      <c r="HI76" s="373"/>
      <c r="HJ76" s="373"/>
      <c r="HK76" s="373"/>
      <c r="HL76" s="373"/>
      <c r="HM76" s="373"/>
      <c r="HN76" s="373"/>
      <c r="HO76" s="373"/>
      <c r="HP76" s="373"/>
      <c r="HQ76" s="373"/>
      <c r="HR76" s="373"/>
      <c r="HS76" s="373"/>
      <c r="HT76" s="373"/>
      <c r="HU76" s="373"/>
      <c r="HV76" s="373"/>
      <c r="HW76" s="373"/>
      <c r="HX76" s="373"/>
      <c r="HY76" s="373"/>
      <c r="HZ76" s="373"/>
      <c r="IA76" s="373"/>
      <c r="IB76" s="373"/>
      <c r="IC76" s="373"/>
      <c r="ID76" s="373"/>
      <c r="IE76" s="373"/>
      <c r="IF76" s="373"/>
      <c r="IG76" s="373"/>
      <c r="IH76" s="373"/>
      <c r="II76" s="373"/>
      <c r="IJ76" s="373"/>
      <c r="IK76" s="373"/>
      <c r="IL76" s="373"/>
      <c r="IM76" s="373"/>
      <c r="IN76" s="373"/>
      <c r="IO76" s="373"/>
      <c r="IP76" s="373"/>
      <c r="IQ76" s="373"/>
    </row>
    <row r="77" spans="1:251" s="285" customFormat="1" ht="9.9499999999999993" customHeight="1">
      <c r="A77" s="401"/>
      <c r="B77" s="401"/>
      <c r="C77" s="396"/>
      <c r="D77" s="396"/>
      <c r="E77" s="397"/>
      <c r="F77" s="368"/>
      <c r="G77" s="356"/>
      <c r="H77" s="356"/>
      <c r="I77" s="356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D77" s="263"/>
      <c r="BE77" s="263"/>
      <c r="BF77" s="263"/>
      <c r="BG77" s="263"/>
      <c r="BH77" s="263"/>
      <c r="BI77" s="263"/>
      <c r="BJ77" s="263"/>
      <c r="BK77" s="263"/>
      <c r="BL77" s="263"/>
      <c r="BM77" s="263"/>
      <c r="BN77" s="263"/>
      <c r="BO77" s="263"/>
      <c r="BP77" s="263"/>
      <c r="BQ77" s="263"/>
      <c r="BR77" s="263"/>
      <c r="BS77" s="263"/>
      <c r="BT77" s="263"/>
      <c r="BU77" s="263"/>
      <c r="BV77" s="263"/>
      <c r="BW77" s="263"/>
      <c r="BX77" s="263"/>
      <c r="BY77" s="263"/>
      <c r="BZ77" s="263"/>
      <c r="CA77" s="263"/>
      <c r="CB77" s="263"/>
      <c r="CC77" s="263"/>
      <c r="CD77" s="263"/>
      <c r="CE77" s="263"/>
      <c r="CF77" s="263"/>
      <c r="CG77" s="263"/>
      <c r="CH77" s="263"/>
      <c r="CI77" s="263"/>
      <c r="CJ77" s="263"/>
      <c r="CK77" s="263"/>
      <c r="CL77" s="263"/>
      <c r="CM77" s="263"/>
      <c r="CN77" s="263"/>
      <c r="CO77" s="263"/>
      <c r="CP77" s="263"/>
      <c r="CQ77" s="263"/>
      <c r="CR77" s="263"/>
      <c r="CS77" s="263"/>
      <c r="CT77" s="263"/>
      <c r="CU77" s="263"/>
      <c r="CV77" s="263"/>
      <c r="CW77" s="263"/>
      <c r="CX77" s="263"/>
      <c r="CY77" s="263"/>
      <c r="CZ77" s="263"/>
      <c r="DA77" s="263"/>
      <c r="DB77" s="263"/>
      <c r="DC77" s="263"/>
      <c r="DD77" s="263"/>
      <c r="DE77" s="263"/>
      <c r="DF77" s="263"/>
      <c r="DG77" s="263"/>
      <c r="DH77" s="263"/>
      <c r="DI77" s="263"/>
      <c r="DJ77" s="263"/>
      <c r="DK77" s="263"/>
      <c r="DL77" s="263"/>
      <c r="DM77" s="263"/>
      <c r="DN77" s="263"/>
      <c r="DO77" s="263"/>
      <c r="DP77" s="263"/>
      <c r="DQ77" s="263"/>
      <c r="DR77" s="263"/>
      <c r="DS77" s="263"/>
      <c r="DT77" s="263"/>
      <c r="DU77" s="263"/>
      <c r="DV77" s="263"/>
      <c r="DW77" s="263"/>
      <c r="DX77" s="263"/>
      <c r="DY77" s="263"/>
      <c r="DZ77" s="263"/>
      <c r="EA77" s="263"/>
      <c r="EB77" s="263"/>
      <c r="EC77" s="263"/>
      <c r="ED77" s="263"/>
      <c r="EE77" s="263"/>
      <c r="EF77" s="263"/>
      <c r="EG77" s="263"/>
      <c r="EH77" s="263"/>
      <c r="EI77" s="263"/>
      <c r="EJ77" s="263"/>
      <c r="EK77" s="263"/>
      <c r="EL77" s="263"/>
      <c r="EM77" s="263"/>
      <c r="EN77" s="263"/>
      <c r="EO77" s="263"/>
      <c r="EP77" s="263"/>
      <c r="EQ77" s="263"/>
      <c r="ER77" s="263"/>
      <c r="ES77" s="263"/>
      <c r="ET77" s="263"/>
      <c r="EU77" s="263"/>
      <c r="EV77" s="263"/>
      <c r="EW77" s="263"/>
      <c r="EX77" s="263"/>
      <c r="EY77" s="263"/>
      <c r="EZ77" s="263"/>
      <c r="FA77" s="263"/>
      <c r="FB77" s="263"/>
      <c r="FC77" s="263"/>
      <c r="FD77" s="263"/>
      <c r="FE77" s="263"/>
      <c r="FF77" s="263"/>
      <c r="FG77" s="263"/>
      <c r="FH77" s="263"/>
      <c r="FI77" s="263"/>
      <c r="FJ77" s="263"/>
      <c r="FK77" s="263"/>
      <c r="FL77" s="263"/>
      <c r="FM77" s="263"/>
      <c r="FN77" s="263"/>
      <c r="FO77" s="263"/>
      <c r="FP77" s="263"/>
      <c r="FQ77" s="263"/>
      <c r="FR77" s="263"/>
      <c r="FS77" s="263"/>
      <c r="FT77" s="263"/>
      <c r="FU77" s="263"/>
      <c r="FV77" s="263"/>
      <c r="FW77" s="263"/>
      <c r="FX77" s="263"/>
      <c r="FY77" s="263"/>
      <c r="FZ77" s="263"/>
      <c r="GA77" s="263"/>
      <c r="GB77" s="263"/>
      <c r="GC77" s="263"/>
      <c r="GD77" s="263"/>
      <c r="GE77" s="263"/>
      <c r="GF77" s="263"/>
      <c r="GG77" s="263"/>
      <c r="GH77" s="263"/>
      <c r="GI77" s="263"/>
      <c r="GJ77" s="263"/>
      <c r="GK77" s="263"/>
      <c r="GL77" s="263"/>
      <c r="GM77" s="263"/>
      <c r="GN77" s="263"/>
      <c r="GO77" s="263"/>
      <c r="GP77" s="263"/>
      <c r="GQ77" s="263"/>
      <c r="GR77" s="263"/>
      <c r="GS77" s="263"/>
      <c r="GT77" s="263"/>
      <c r="GU77" s="263"/>
      <c r="GV77" s="263"/>
      <c r="GW77" s="263"/>
      <c r="GX77" s="263"/>
      <c r="GY77" s="263"/>
      <c r="GZ77" s="263"/>
      <c r="HA77" s="263"/>
      <c r="HB77" s="263"/>
      <c r="HC77" s="263"/>
      <c r="HD77" s="263"/>
      <c r="HE77" s="263"/>
      <c r="HF77" s="263"/>
      <c r="HG77" s="263"/>
      <c r="HH77" s="263"/>
      <c r="HI77" s="263"/>
      <c r="HJ77" s="263"/>
      <c r="HK77" s="263"/>
      <c r="HL77" s="263"/>
      <c r="HM77" s="263"/>
      <c r="HN77" s="263"/>
      <c r="HO77" s="263"/>
      <c r="HP77" s="263"/>
      <c r="HQ77" s="263"/>
      <c r="HR77" s="263"/>
      <c r="HS77" s="263"/>
      <c r="HT77" s="263"/>
      <c r="HU77" s="263"/>
      <c r="HV77" s="263"/>
      <c r="HW77" s="263"/>
      <c r="HX77" s="263"/>
      <c r="HY77" s="263"/>
      <c r="HZ77" s="263"/>
      <c r="IA77" s="263"/>
      <c r="IB77" s="263"/>
      <c r="IC77" s="263"/>
      <c r="ID77" s="263"/>
      <c r="IE77" s="263"/>
      <c r="IF77" s="263"/>
      <c r="IG77" s="263"/>
      <c r="IH77" s="263"/>
      <c r="II77" s="263"/>
      <c r="IJ77" s="263"/>
      <c r="IK77" s="263"/>
      <c r="IL77" s="263"/>
      <c r="IM77" s="263"/>
      <c r="IN77" s="263"/>
      <c r="IO77" s="263"/>
      <c r="IP77" s="263"/>
      <c r="IQ77" s="263"/>
    </row>
    <row r="78" spans="1:251">
      <c r="A78" s="1099" t="s">
        <v>599</v>
      </c>
      <c r="B78" s="1099"/>
      <c r="C78" s="378">
        <f>C80</f>
        <v>120000</v>
      </c>
      <c r="D78" s="378">
        <f>D80</f>
        <v>120000</v>
      </c>
      <c r="E78" s="379">
        <f>E80</f>
        <v>0</v>
      </c>
      <c r="F78" s="368"/>
      <c r="G78" s="378">
        <f>G82</f>
        <v>120000</v>
      </c>
      <c r="H78" s="378">
        <f>H82</f>
        <v>120000</v>
      </c>
      <c r="I78" s="378">
        <f>I82</f>
        <v>0</v>
      </c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  <c r="AP78" s="377"/>
      <c r="AQ78" s="377"/>
      <c r="AR78" s="377"/>
      <c r="AS78" s="377"/>
      <c r="AT78" s="377"/>
      <c r="AU78" s="377"/>
      <c r="AV78" s="377"/>
      <c r="AW78" s="377"/>
      <c r="AX78" s="377"/>
      <c r="AY78" s="377"/>
      <c r="AZ78" s="377"/>
      <c r="BA78" s="377"/>
      <c r="BB78" s="377"/>
      <c r="BC78" s="377"/>
      <c r="BD78" s="377"/>
      <c r="BE78" s="377"/>
      <c r="BF78" s="377"/>
      <c r="BG78" s="377"/>
      <c r="BH78" s="377"/>
      <c r="BI78" s="377"/>
      <c r="BJ78" s="377"/>
      <c r="BK78" s="377"/>
      <c r="BL78" s="377"/>
      <c r="BM78" s="377"/>
      <c r="BN78" s="377"/>
      <c r="BO78" s="377"/>
      <c r="BP78" s="377"/>
      <c r="BQ78" s="377"/>
      <c r="BR78" s="377"/>
      <c r="BS78" s="377"/>
      <c r="BT78" s="377"/>
      <c r="BU78" s="377"/>
      <c r="BV78" s="377"/>
      <c r="BW78" s="377"/>
      <c r="BX78" s="377"/>
      <c r="BY78" s="377"/>
      <c r="BZ78" s="377"/>
      <c r="CA78" s="377"/>
      <c r="CB78" s="377"/>
      <c r="CC78" s="377"/>
      <c r="CD78" s="377"/>
      <c r="CE78" s="377"/>
      <c r="CF78" s="377"/>
      <c r="CG78" s="377"/>
      <c r="CH78" s="377"/>
      <c r="CI78" s="377"/>
      <c r="CJ78" s="377"/>
      <c r="CK78" s="377"/>
      <c r="CL78" s="377"/>
      <c r="CM78" s="377"/>
      <c r="CN78" s="377"/>
      <c r="CO78" s="377"/>
      <c r="CP78" s="377"/>
      <c r="CQ78" s="377"/>
      <c r="CR78" s="377"/>
      <c r="CS78" s="377"/>
      <c r="CT78" s="377"/>
      <c r="CU78" s="377"/>
      <c r="CV78" s="377"/>
      <c r="CW78" s="377"/>
      <c r="CX78" s="377"/>
      <c r="CY78" s="377"/>
      <c r="CZ78" s="377"/>
      <c r="DA78" s="377"/>
      <c r="DB78" s="377"/>
      <c r="DC78" s="377"/>
      <c r="DD78" s="377"/>
      <c r="DE78" s="377"/>
      <c r="DF78" s="377"/>
      <c r="DG78" s="377"/>
      <c r="DH78" s="377"/>
      <c r="DI78" s="377"/>
      <c r="DJ78" s="377"/>
      <c r="DK78" s="377"/>
      <c r="DL78" s="377"/>
      <c r="DM78" s="377"/>
      <c r="DN78" s="377"/>
      <c r="DO78" s="377"/>
      <c r="DP78" s="377"/>
      <c r="DQ78" s="377"/>
      <c r="DR78" s="377"/>
      <c r="DS78" s="377"/>
      <c r="DT78" s="377"/>
      <c r="DU78" s="377"/>
      <c r="DV78" s="377"/>
      <c r="DW78" s="377"/>
      <c r="DX78" s="377"/>
      <c r="DY78" s="377"/>
      <c r="DZ78" s="377"/>
      <c r="EA78" s="377"/>
      <c r="EB78" s="377"/>
      <c r="EC78" s="377"/>
      <c r="ED78" s="377"/>
      <c r="EE78" s="377"/>
      <c r="EF78" s="377"/>
      <c r="EG78" s="377"/>
      <c r="EH78" s="377"/>
      <c r="EI78" s="377"/>
      <c r="EJ78" s="377"/>
      <c r="EK78" s="377"/>
      <c r="EL78" s="377"/>
      <c r="EM78" s="377"/>
      <c r="EN78" s="377"/>
      <c r="EO78" s="377"/>
      <c r="EP78" s="377"/>
      <c r="EQ78" s="377"/>
      <c r="ER78" s="377"/>
      <c r="ES78" s="377"/>
      <c r="ET78" s="377"/>
      <c r="EU78" s="377"/>
      <c r="EV78" s="377"/>
      <c r="EW78" s="377"/>
      <c r="EX78" s="377"/>
      <c r="EY78" s="377"/>
      <c r="EZ78" s="377"/>
      <c r="FA78" s="377"/>
      <c r="FB78" s="377"/>
      <c r="FC78" s="377"/>
      <c r="FD78" s="377"/>
      <c r="FE78" s="377"/>
      <c r="FF78" s="377"/>
      <c r="FG78" s="377"/>
      <c r="FH78" s="377"/>
      <c r="FI78" s="377"/>
      <c r="FJ78" s="377"/>
      <c r="FK78" s="377"/>
      <c r="FL78" s="377"/>
      <c r="FM78" s="377"/>
      <c r="FN78" s="377"/>
      <c r="FO78" s="377"/>
      <c r="FP78" s="377"/>
      <c r="FQ78" s="377"/>
      <c r="FR78" s="377"/>
      <c r="FS78" s="377"/>
      <c r="FT78" s="377"/>
      <c r="FU78" s="377"/>
      <c r="FV78" s="377"/>
      <c r="FW78" s="377"/>
      <c r="FX78" s="377"/>
      <c r="FY78" s="377"/>
      <c r="FZ78" s="377"/>
      <c r="GA78" s="377"/>
      <c r="GB78" s="377"/>
      <c r="GC78" s="377"/>
      <c r="GD78" s="377"/>
      <c r="GE78" s="377"/>
      <c r="GF78" s="377"/>
      <c r="GG78" s="377"/>
      <c r="GH78" s="377"/>
      <c r="GI78" s="377"/>
      <c r="GJ78" s="377"/>
      <c r="GK78" s="377"/>
      <c r="GL78" s="377"/>
      <c r="GM78" s="377"/>
      <c r="GN78" s="377"/>
      <c r="GO78" s="377"/>
      <c r="GP78" s="377"/>
      <c r="GQ78" s="377"/>
      <c r="GR78" s="377"/>
      <c r="GS78" s="377"/>
      <c r="GT78" s="377"/>
      <c r="GU78" s="377"/>
      <c r="GV78" s="377"/>
      <c r="GW78" s="377"/>
      <c r="GX78" s="377"/>
      <c r="GY78" s="377"/>
      <c r="GZ78" s="377"/>
      <c r="HA78" s="377"/>
      <c r="HB78" s="377"/>
      <c r="HC78" s="377"/>
      <c r="HD78" s="377"/>
      <c r="HE78" s="377"/>
      <c r="HF78" s="377"/>
      <c r="HG78" s="377"/>
      <c r="HH78" s="377"/>
      <c r="HI78" s="377"/>
      <c r="HJ78" s="377"/>
      <c r="HK78" s="377"/>
      <c r="HL78" s="377"/>
      <c r="HM78" s="377"/>
      <c r="HN78" s="377"/>
      <c r="HO78" s="377"/>
      <c r="HP78" s="377"/>
      <c r="HQ78" s="377"/>
      <c r="HR78" s="377"/>
      <c r="HS78" s="377"/>
      <c r="HT78" s="377"/>
      <c r="HU78" s="377"/>
      <c r="HV78" s="377"/>
      <c r="HW78" s="377"/>
      <c r="HX78" s="377"/>
      <c r="HY78" s="377"/>
      <c r="HZ78" s="377"/>
      <c r="IA78" s="377"/>
      <c r="IB78" s="377"/>
      <c r="IC78" s="377"/>
      <c r="ID78" s="377"/>
      <c r="IE78" s="377"/>
      <c r="IF78" s="377"/>
      <c r="IG78" s="377"/>
      <c r="IH78" s="377"/>
      <c r="II78" s="377"/>
      <c r="IJ78" s="377"/>
      <c r="IK78" s="377"/>
      <c r="IL78" s="377"/>
      <c r="IM78" s="377"/>
      <c r="IN78" s="377"/>
      <c r="IO78" s="377"/>
      <c r="IP78" s="377"/>
      <c r="IQ78" s="377"/>
    </row>
    <row r="79" spans="1:251" s="377" customFormat="1" ht="9.9499999999999993" customHeight="1">
      <c r="A79" s="369"/>
      <c r="B79" s="398"/>
      <c r="C79" s="371"/>
      <c r="D79" s="371"/>
      <c r="E79" s="372"/>
      <c r="F79" s="368"/>
      <c r="G79" s="399"/>
      <c r="H79" s="399"/>
      <c r="I79" s="399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  <c r="AJ79" s="373"/>
      <c r="AK79" s="373"/>
      <c r="AL79" s="373"/>
      <c r="AM79" s="373"/>
      <c r="AN79" s="373"/>
      <c r="AO79" s="373"/>
      <c r="AP79" s="373"/>
      <c r="AQ79" s="373"/>
      <c r="AR79" s="373"/>
      <c r="AS79" s="373"/>
      <c r="AT79" s="373"/>
      <c r="AU79" s="373"/>
      <c r="AV79" s="373"/>
      <c r="AW79" s="373"/>
      <c r="AX79" s="373"/>
      <c r="AY79" s="373"/>
      <c r="AZ79" s="373"/>
      <c r="BA79" s="373"/>
      <c r="BB79" s="373"/>
      <c r="BC79" s="373"/>
      <c r="BD79" s="373"/>
      <c r="BE79" s="373"/>
      <c r="BF79" s="373"/>
      <c r="BG79" s="373"/>
      <c r="BH79" s="373"/>
      <c r="BI79" s="373"/>
      <c r="BJ79" s="373"/>
      <c r="BK79" s="373"/>
      <c r="BL79" s="373"/>
      <c r="BM79" s="373"/>
      <c r="BN79" s="373"/>
      <c r="BO79" s="373"/>
      <c r="BP79" s="373"/>
      <c r="BQ79" s="373"/>
      <c r="BR79" s="373"/>
      <c r="BS79" s="373"/>
      <c r="BT79" s="373"/>
      <c r="BU79" s="373"/>
      <c r="BV79" s="373"/>
      <c r="BW79" s="373"/>
      <c r="BX79" s="373"/>
      <c r="BY79" s="373"/>
      <c r="BZ79" s="373"/>
      <c r="CA79" s="373"/>
      <c r="CB79" s="373"/>
      <c r="CC79" s="373"/>
      <c r="CD79" s="373"/>
      <c r="CE79" s="373"/>
      <c r="CF79" s="373"/>
      <c r="CG79" s="373"/>
      <c r="CH79" s="373"/>
      <c r="CI79" s="373"/>
      <c r="CJ79" s="373"/>
      <c r="CK79" s="373"/>
      <c r="CL79" s="373"/>
      <c r="CM79" s="373"/>
      <c r="CN79" s="373"/>
      <c r="CO79" s="373"/>
      <c r="CP79" s="373"/>
      <c r="CQ79" s="373"/>
      <c r="CR79" s="373"/>
      <c r="CS79" s="373"/>
      <c r="CT79" s="373"/>
      <c r="CU79" s="373"/>
      <c r="CV79" s="373"/>
      <c r="CW79" s="373"/>
      <c r="CX79" s="373"/>
      <c r="CY79" s="373"/>
      <c r="CZ79" s="373"/>
      <c r="DA79" s="373"/>
      <c r="DB79" s="373"/>
      <c r="DC79" s="373"/>
      <c r="DD79" s="373"/>
      <c r="DE79" s="373"/>
      <c r="DF79" s="373"/>
      <c r="DG79" s="373"/>
      <c r="DH79" s="373"/>
      <c r="DI79" s="373"/>
      <c r="DJ79" s="373"/>
      <c r="DK79" s="373"/>
      <c r="DL79" s="373"/>
      <c r="DM79" s="373"/>
      <c r="DN79" s="373"/>
      <c r="DO79" s="373"/>
      <c r="DP79" s="373"/>
      <c r="DQ79" s="373"/>
      <c r="DR79" s="373"/>
      <c r="DS79" s="373"/>
      <c r="DT79" s="373"/>
      <c r="DU79" s="373"/>
      <c r="DV79" s="373"/>
      <c r="DW79" s="373"/>
      <c r="DX79" s="373"/>
      <c r="DY79" s="373"/>
      <c r="DZ79" s="373"/>
      <c r="EA79" s="373"/>
      <c r="EB79" s="373"/>
      <c r="EC79" s="373"/>
      <c r="ED79" s="373"/>
      <c r="EE79" s="373"/>
      <c r="EF79" s="373"/>
      <c r="EG79" s="373"/>
      <c r="EH79" s="373"/>
      <c r="EI79" s="373"/>
      <c r="EJ79" s="373"/>
      <c r="EK79" s="373"/>
      <c r="EL79" s="373"/>
      <c r="EM79" s="373"/>
      <c r="EN79" s="373"/>
      <c r="EO79" s="373"/>
      <c r="EP79" s="373"/>
      <c r="EQ79" s="373"/>
      <c r="ER79" s="373"/>
      <c r="ES79" s="373"/>
      <c r="ET79" s="373"/>
      <c r="EU79" s="373"/>
      <c r="EV79" s="373"/>
      <c r="EW79" s="373"/>
      <c r="EX79" s="373"/>
      <c r="EY79" s="373"/>
      <c r="EZ79" s="373"/>
      <c r="FA79" s="373"/>
      <c r="FB79" s="373"/>
      <c r="FC79" s="373"/>
      <c r="FD79" s="373"/>
      <c r="FE79" s="373"/>
      <c r="FF79" s="373"/>
      <c r="FG79" s="373"/>
      <c r="FH79" s="373"/>
      <c r="FI79" s="373"/>
      <c r="FJ79" s="373"/>
      <c r="FK79" s="373"/>
      <c r="FL79" s="373"/>
      <c r="FM79" s="373"/>
      <c r="FN79" s="373"/>
      <c r="FO79" s="373"/>
      <c r="FP79" s="373"/>
      <c r="FQ79" s="373"/>
      <c r="FR79" s="373"/>
      <c r="FS79" s="373"/>
      <c r="FT79" s="373"/>
      <c r="FU79" s="373"/>
      <c r="FV79" s="373"/>
      <c r="FW79" s="373"/>
      <c r="FX79" s="373"/>
      <c r="FY79" s="373"/>
      <c r="FZ79" s="373"/>
      <c r="GA79" s="373"/>
      <c r="GB79" s="373"/>
      <c r="GC79" s="373"/>
      <c r="GD79" s="373"/>
      <c r="GE79" s="373"/>
      <c r="GF79" s="373"/>
      <c r="GG79" s="373"/>
      <c r="GH79" s="373"/>
      <c r="GI79" s="373"/>
      <c r="GJ79" s="373"/>
      <c r="GK79" s="373"/>
      <c r="GL79" s="373"/>
      <c r="GM79" s="373"/>
      <c r="GN79" s="373"/>
      <c r="GO79" s="373"/>
      <c r="GP79" s="373"/>
      <c r="GQ79" s="373"/>
      <c r="GR79" s="373"/>
      <c r="GS79" s="373"/>
      <c r="GT79" s="373"/>
      <c r="GU79" s="373"/>
      <c r="GV79" s="373"/>
      <c r="GW79" s="373"/>
      <c r="GX79" s="373"/>
      <c r="GY79" s="373"/>
      <c r="GZ79" s="373"/>
      <c r="HA79" s="373"/>
      <c r="HB79" s="373"/>
      <c r="HC79" s="373"/>
      <c r="HD79" s="373"/>
      <c r="HE79" s="373"/>
      <c r="HF79" s="373"/>
      <c r="HG79" s="373"/>
      <c r="HH79" s="373"/>
      <c r="HI79" s="373"/>
      <c r="HJ79" s="373"/>
      <c r="HK79" s="373"/>
      <c r="HL79" s="373"/>
      <c r="HM79" s="373"/>
      <c r="HN79" s="373"/>
      <c r="HO79" s="373"/>
      <c r="HP79" s="373"/>
      <c r="HQ79" s="373"/>
      <c r="HR79" s="373"/>
      <c r="HS79" s="373"/>
      <c r="HT79" s="373"/>
      <c r="HU79" s="373"/>
      <c r="HV79" s="373"/>
      <c r="HW79" s="373"/>
      <c r="HX79" s="373"/>
      <c r="HY79" s="373"/>
      <c r="HZ79" s="373"/>
      <c r="IA79" s="373"/>
      <c r="IB79" s="373"/>
      <c r="IC79" s="373"/>
      <c r="ID79" s="373"/>
      <c r="IE79" s="373"/>
      <c r="IF79" s="373"/>
      <c r="IG79" s="373"/>
      <c r="IH79" s="373"/>
      <c r="II79" s="373"/>
      <c r="IJ79" s="373"/>
      <c r="IK79" s="373"/>
      <c r="IL79" s="373"/>
      <c r="IM79" s="373"/>
      <c r="IN79" s="373"/>
      <c r="IO79" s="373"/>
      <c r="IP79" s="373"/>
      <c r="IQ79" s="373"/>
    </row>
    <row r="80" spans="1:251" s="373" customFormat="1">
      <c r="A80" s="409"/>
      <c r="B80" s="410" t="s">
        <v>591</v>
      </c>
      <c r="C80" s="366">
        <f>D80+E80</f>
        <v>120000</v>
      </c>
      <c r="D80" s="366">
        <v>120000</v>
      </c>
      <c r="E80" s="367">
        <v>0</v>
      </c>
      <c r="F80" s="368"/>
      <c r="G80" s="411" t="s">
        <v>421</v>
      </c>
      <c r="H80" s="411" t="s">
        <v>421</v>
      </c>
      <c r="I80" s="411" t="s">
        <v>421</v>
      </c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63"/>
      <c r="AL80" s="263"/>
      <c r="AM80" s="263"/>
      <c r="AN80" s="263"/>
      <c r="AO80" s="263"/>
      <c r="AP80" s="263"/>
      <c r="AQ80" s="263"/>
      <c r="AR80" s="263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  <c r="BJ80" s="263"/>
      <c r="BK80" s="263"/>
      <c r="BL80" s="263"/>
      <c r="BM80" s="263"/>
      <c r="BN80" s="263"/>
      <c r="BO80" s="263"/>
      <c r="BP80" s="263"/>
      <c r="BQ80" s="263"/>
      <c r="BR80" s="263"/>
      <c r="BS80" s="263"/>
      <c r="BT80" s="263"/>
      <c r="BU80" s="263"/>
      <c r="BV80" s="263"/>
      <c r="BW80" s="263"/>
      <c r="BX80" s="263"/>
      <c r="BY80" s="263"/>
      <c r="BZ80" s="263"/>
      <c r="CA80" s="263"/>
      <c r="CB80" s="263"/>
      <c r="CC80" s="263"/>
      <c r="CD80" s="263"/>
      <c r="CE80" s="263"/>
      <c r="CF80" s="263"/>
      <c r="CG80" s="263"/>
      <c r="CH80" s="263"/>
      <c r="CI80" s="263"/>
      <c r="CJ80" s="263"/>
      <c r="CK80" s="263"/>
      <c r="CL80" s="263"/>
      <c r="CM80" s="263"/>
      <c r="CN80" s="263"/>
      <c r="CO80" s="263"/>
      <c r="CP80" s="263"/>
      <c r="CQ80" s="263"/>
      <c r="CR80" s="263"/>
      <c r="CS80" s="263"/>
      <c r="CT80" s="263"/>
      <c r="CU80" s="263"/>
      <c r="CV80" s="263"/>
      <c r="CW80" s="263"/>
      <c r="CX80" s="263"/>
      <c r="CY80" s="263"/>
      <c r="CZ80" s="263"/>
      <c r="DA80" s="263"/>
      <c r="DB80" s="263"/>
      <c r="DC80" s="263"/>
      <c r="DD80" s="263"/>
      <c r="DE80" s="263"/>
      <c r="DF80" s="263"/>
      <c r="DG80" s="263"/>
      <c r="DH80" s="263"/>
      <c r="DI80" s="263"/>
      <c r="DJ80" s="263"/>
      <c r="DK80" s="263"/>
      <c r="DL80" s="263"/>
      <c r="DM80" s="263"/>
      <c r="DN80" s="263"/>
      <c r="DO80" s="263"/>
      <c r="DP80" s="263"/>
      <c r="DQ80" s="263"/>
      <c r="DR80" s="263"/>
      <c r="DS80" s="263"/>
      <c r="DT80" s="263"/>
      <c r="DU80" s="263"/>
      <c r="DV80" s="263"/>
      <c r="DW80" s="263"/>
      <c r="DX80" s="263"/>
      <c r="DY80" s="263"/>
      <c r="DZ80" s="263"/>
      <c r="EA80" s="263"/>
      <c r="EB80" s="263"/>
      <c r="EC80" s="263"/>
      <c r="ED80" s="263"/>
      <c r="EE80" s="263"/>
      <c r="EF80" s="263"/>
      <c r="EG80" s="263"/>
      <c r="EH80" s="263"/>
      <c r="EI80" s="263"/>
      <c r="EJ80" s="263"/>
      <c r="EK80" s="263"/>
      <c r="EL80" s="263"/>
      <c r="EM80" s="263"/>
      <c r="EN80" s="263"/>
      <c r="EO80" s="263"/>
      <c r="EP80" s="263"/>
      <c r="EQ80" s="263"/>
      <c r="ER80" s="263"/>
      <c r="ES80" s="263"/>
      <c r="ET80" s="263"/>
      <c r="EU80" s="263"/>
      <c r="EV80" s="263"/>
      <c r="EW80" s="263"/>
      <c r="EX80" s="263"/>
      <c r="EY80" s="263"/>
      <c r="EZ80" s="263"/>
      <c r="FA80" s="263"/>
      <c r="FB80" s="263"/>
      <c r="FC80" s="263"/>
      <c r="FD80" s="263"/>
      <c r="FE80" s="263"/>
      <c r="FF80" s="263"/>
      <c r="FG80" s="263"/>
      <c r="FH80" s="263"/>
      <c r="FI80" s="263"/>
      <c r="FJ80" s="263"/>
      <c r="FK80" s="263"/>
      <c r="FL80" s="263"/>
      <c r="FM80" s="263"/>
      <c r="FN80" s="263"/>
      <c r="FO80" s="263"/>
      <c r="FP80" s="263"/>
      <c r="FQ80" s="263"/>
      <c r="FR80" s="263"/>
      <c r="FS80" s="263"/>
      <c r="FT80" s="263"/>
      <c r="FU80" s="263"/>
      <c r="FV80" s="263"/>
      <c r="FW80" s="263"/>
      <c r="FX80" s="263"/>
      <c r="FY80" s="263"/>
      <c r="FZ80" s="263"/>
      <c r="GA80" s="263"/>
      <c r="GB80" s="263"/>
      <c r="GC80" s="263"/>
      <c r="GD80" s="263"/>
      <c r="GE80" s="263"/>
      <c r="GF80" s="263"/>
      <c r="GG80" s="263"/>
      <c r="GH80" s="263"/>
      <c r="GI80" s="263"/>
      <c r="GJ80" s="263"/>
      <c r="GK80" s="263"/>
      <c r="GL80" s="263"/>
      <c r="GM80" s="263"/>
      <c r="GN80" s="263"/>
      <c r="GO80" s="263"/>
      <c r="GP80" s="263"/>
      <c r="GQ80" s="263"/>
      <c r="GR80" s="263"/>
      <c r="GS80" s="263"/>
      <c r="GT80" s="263"/>
      <c r="GU80" s="263"/>
      <c r="GV80" s="263"/>
      <c r="GW80" s="263"/>
      <c r="GX80" s="263"/>
      <c r="GY80" s="263"/>
      <c r="GZ80" s="263"/>
      <c r="HA80" s="263"/>
      <c r="HB80" s="263"/>
      <c r="HC80" s="263"/>
      <c r="HD80" s="263"/>
      <c r="HE80" s="263"/>
      <c r="HF80" s="263"/>
      <c r="HG80" s="263"/>
      <c r="HH80" s="263"/>
      <c r="HI80" s="263"/>
      <c r="HJ80" s="263"/>
      <c r="HK80" s="263"/>
      <c r="HL80" s="263"/>
      <c r="HM80" s="263"/>
      <c r="HN80" s="263"/>
      <c r="HO80" s="263"/>
      <c r="HP80" s="263"/>
      <c r="HQ80" s="263"/>
      <c r="HR80" s="263"/>
      <c r="HS80" s="263"/>
      <c r="HT80" s="263"/>
      <c r="HU80" s="263"/>
      <c r="HV80" s="263"/>
      <c r="HW80" s="263"/>
      <c r="HX80" s="263"/>
      <c r="HY80" s="263"/>
      <c r="HZ80" s="263"/>
      <c r="IA80" s="263"/>
      <c r="IB80" s="263"/>
      <c r="IC80" s="263"/>
      <c r="ID80" s="263"/>
      <c r="IE80" s="263"/>
      <c r="IF80" s="263"/>
      <c r="IG80" s="263"/>
      <c r="IH80" s="263"/>
      <c r="II80" s="263"/>
      <c r="IJ80" s="263"/>
      <c r="IK80" s="263"/>
      <c r="IL80" s="263"/>
      <c r="IM80" s="263"/>
      <c r="IN80" s="263"/>
      <c r="IO80" s="263"/>
      <c r="IP80" s="263"/>
      <c r="IQ80" s="263"/>
    </row>
    <row r="81" spans="1:251" s="373" customFormat="1" ht="9.9499999999999993" customHeight="1">
      <c r="A81" s="352"/>
      <c r="B81" s="390"/>
      <c r="C81" s="354"/>
      <c r="D81" s="354"/>
      <c r="E81" s="355"/>
      <c r="F81" s="368"/>
      <c r="G81" s="356"/>
      <c r="H81" s="356"/>
      <c r="I81" s="356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63"/>
      <c r="BQ81" s="263"/>
      <c r="BR81" s="263"/>
      <c r="BS81" s="263"/>
      <c r="BT81" s="263"/>
      <c r="BU81" s="263"/>
      <c r="BV81" s="263"/>
      <c r="BW81" s="263"/>
      <c r="BX81" s="263"/>
      <c r="BY81" s="263"/>
      <c r="BZ81" s="263"/>
      <c r="CA81" s="263"/>
      <c r="CB81" s="263"/>
      <c r="CC81" s="263"/>
      <c r="CD81" s="263"/>
      <c r="CE81" s="263"/>
      <c r="CF81" s="263"/>
      <c r="CG81" s="263"/>
      <c r="CH81" s="263"/>
      <c r="CI81" s="263"/>
      <c r="CJ81" s="263"/>
      <c r="CK81" s="263"/>
      <c r="CL81" s="263"/>
      <c r="CM81" s="263"/>
      <c r="CN81" s="263"/>
      <c r="CO81" s="263"/>
      <c r="CP81" s="263"/>
      <c r="CQ81" s="263"/>
      <c r="CR81" s="263"/>
      <c r="CS81" s="263"/>
      <c r="CT81" s="263"/>
      <c r="CU81" s="263"/>
      <c r="CV81" s="263"/>
      <c r="CW81" s="263"/>
      <c r="CX81" s="263"/>
      <c r="CY81" s="263"/>
      <c r="CZ81" s="263"/>
      <c r="DA81" s="263"/>
      <c r="DB81" s="263"/>
      <c r="DC81" s="263"/>
      <c r="DD81" s="263"/>
      <c r="DE81" s="263"/>
      <c r="DF81" s="263"/>
      <c r="DG81" s="263"/>
      <c r="DH81" s="263"/>
      <c r="DI81" s="263"/>
      <c r="DJ81" s="263"/>
      <c r="DK81" s="263"/>
      <c r="DL81" s="263"/>
      <c r="DM81" s="263"/>
      <c r="DN81" s="263"/>
      <c r="DO81" s="263"/>
      <c r="DP81" s="263"/>
      <c r="DQ81" s="263"/>
      <c r="DR81" s="263"/>
      <c r="DS81" s="263"/>
      <c r="DT81" s="263"/>
      <c r="DU81" s="263"/>
      <c r="DV81" s="263"/>
      <c r="DW81" s="263"/>
      <c r="DX81" s="263"/>
      <c r="DY81" s="263"/>
      <c r="DZ81" s="263"/>
      <c r="EA81" s="263"/>
      <c r="EB81" s="263"/>
      <c r="EC81" s="263"/>
      <c r="ED81" s="263"/>
      <c r="EE81" s="263"/>
      <c r="EF81" s="263"/>
      <c r="EG81" s="263"/>
      <c r="EH81" s="263"/>
      <c r="EI81" s="263"/>
      <c r="EJ81" s="263"/>
      <c r="EK81" s="263"/>
      <c r="EL81" s="263"/>
      <c r="EM81" s="263"/>
      <c r="EN81" s="263"/>
      <c r="EO81" s="263"/>
      <c r="EP81" s="263"/>
      <c r="EQ81" s="263"/>
      <c r="ER81" s="263"/>
      <c r="ES81" s="263"/>
      <c r="ET81" s="263"/>
      <c r="EU81" s="263"/>
      <c r="EV81" s="263"/>
      <c r="EW81" s="263"/>
      <c r="EX81" s="263"/>
      <c r="EY81" s="263"/>
      <c r="EZ81" s="263"/>
      <c r="FA81" s="263"/>
      <c r="FB81" s="263"/>
      <c r="FC81" s="263"/>
      <c r="FD81" s="263"/>
      <c r="FE81" s="263"/>
      <c r="FF81" s="263"/>
      <c r="FG81" s="263"/>
      <c r="FH81" s="263"/>
      <c r="FI81" s="263"/>
      <c r="FJ81" s="263"/>
      <c r="FK81" s="263"/>
      <c r="FL81" s="263"/>
      <c r="FM81" s="263"/>
      <c r="FN81" s="263"/>
      <c r="FO81" s="263"/>
      <c r="FP81" s="263"/>
      <c r="FQ81" s="263"/>
      <c r="FR81" s="263"/>
      <c r="FS81" s="263"/>
      <c r="FT81" s="263"/>
      <c r="FU81" s="263"/>
      <c r="FV81" s="263"/>
      <c r="FW81" s="263"/>
      <c r="FX81" s="263"/>
      <c r="FY81" s="263"/>
      <c r="FZ81" s="263"/>
      <c r="GA81" s="263"/>
      <c r="GB81" s="263"/>
      <c r="GC81" s="263"/>
      <c r="GD81" s="263"/>
      <c r="GE81" s="263"/>
      <c r="GF81" s="263"/>
      <c r="GG81" s="263"/>
      <c r="GH81" s="263"/>
      <c r="GI81" s="263"/>
      <c r="GJ81" s="263"/>
      <c r="GK81" s="263"/>
      <c r="GL81" s="263"/>
      <c r="GM81" s="263"/>
      <c r="GN81" s="263"/>
      <c r="GO81" s="263"/>
      <c r="GP81" s="263"/>
      <c r="GQ81" s="263"/>
      <c r="GR81" s="263"/>
      <c r="GS81" s="263"/>
      <c r="GT81" s="263"/>
      <c r="GU81" s="263"/>
      <c r="GV81" s="263"/>
      <c r="GW81" s="263"/>
      <c r="GX81" s="263"/>
      <c r="GY81" s="263"/>
      <c r="GZ81" s="263"/>
      <c r="HA81" s="263"/>
      <c r="HB81" s="263"/>
      <c r="HC81" s="263"/>
      <c r="HD81" s="263"/>
      <c r="HE81" s="263"/>
      <c r="HF81" s="263"/>
      <c r="HG81" s="263"/>
      <c r="HH81" s="263"/>
      <c r="HI81" s="263"/>
      <c r="HJ81" s="263"/>
      <c r="HK81" s="263"/>
      <c r="HL81" s="263"/>
      <c r="HM81" s="263"/>
      <c r="HN81" s="263"/>
      <c r="HO81" s="263"/>
      <c r="HP81" s="263"/>
      <c r="HQ81" s="263"/>
      <c r="HR81" s="263"/>
      <c r="HS81" s="263"/>
      <c r="HT81" s="263"/>
      <c r="HU81" s="263"/>
      <c r="HV81" s="263"/>
      <c r="HW81" s="263"/>
      <c r="HX81" s="263"/>
      <c r="HY81" s="263"/>
      <c r="HZ81" s="263"/>
      <c r="IA81" s="263"/>
      <c r="IB81" s="263"/>
      <c r="IC81" s="263"/>
      <c r="ID81" s="263"/>
      <c r="IE81" s="263"/>
      <c r="IF81" s="263"/>
      <c r="IG81" s="263"/>
      <c r="IH81" s="263"/>
      <c r="II81" s="263"/>
      <c r="IJ81" s="263"/>
      <c r="IK81" s="263"/>
      <c r="IL81" s="263"/>
      <c r="IM81" s="263"/>
      <c r="IN81" s="263"/>
      <c r="IO81" s="263"/>
      <c r="IP81" s="263"/>
      <c r="IQ81" s="263"/>
    </row>
    <row r="82" spans="1:251" s="373" customFormat="1">
      <c r="A82" s="352"/>
      <c r="B82" s="391" t="s">
        <v>592</v>
      </c>
      <c r="C82" s="392" t="s">
        <v>421</v>
      </c>
      <c r="D82" s="392" t="s">
        <v>421</v>
      </c>
      <c r="E82" s="393" t="s">
        <v>421</v>
      </c>
      <c r="F82" s="368"/>
      <c r="G82" s="356">
        <f>H82+I82</f>
        <v>120000</v>
      </c>
      <c r="H82" s="356">
        <v>120000</v>
      </c>
      <c r="I82" s="356">
        <v>0</v>
      </c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3"/>
      <c r="BX82" s="263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3"/>
      <c r="CM82" s="263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3"/>
      <c r="DB82" s="263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3"/>
      <c r="DQ82" s="263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3"/>
      <c r="EF82" s="263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3"/>
      <c r="EU82" s="263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3"/>
      <c r="FJ82" s="263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3"/>
      <c r="FY82" s="263"/>
      <c r="FZ82" s="263"/>
      <c r="GA82" s="263"/>
      <c r="GB82" s="263"/>
      <c r="GC82" s="263"/>
      <c r="GD82" s="263"/>
      <c r="GE82" s="263"/>
      <c r="GF82" s="263"/>
      <c r="GG82" s="263"/>
      <c r="GH82" s="263"/>
      <c r="GI82" s="263"/>
      <c r="GJ82" s="263"/>
      <c r="GK82" s="263"/>
      <c r="GL82" s="263"/>
      <c r="GM82" s="263"/>
      <c r="GN82" s="263"/>
      <c r="GO82" s="263"/>
      <c r="GP82" s="263"/>
      <c r="GQ82" s="263"/>
      <c r="GR82" s="263"/>
      <c r="GS82" s="263"/>
      <c r="GT82" s="263"/>
      <c r="GU82" s="263"/>
      <c r="GV82" s="263"/>
      <c r="GW82" s="263"/>
      <c r="GX82" s="263"/>
      <c r="GY82" s="263"/>
      <c r="GZ82" s="263"/>
      <c r="HA82" s="263"/>
      <c r="HB82" s="263"/>
      <c r="HC82" s="263"/>
      <c r="HD82" s="263"/>
      <c r="HE82" s="263"/>
      <c r="HF82" s="263"/>
      <c r="HG82" s="263"/>
      <c r="HH82" s="263"/>
      <c r="HI82" s="263"/>
      <c r="HJ82" s="263"/>
      <c r="HK82" s="263"/>
      <c r="HL82" s="263"/>
      <c r="HM82" s="263"/>
      <c r="HN82" s="263"/>
      <c r="HO82" s="263"/>
      <c r="HP82" s="263"/>
      <c r="HQ82" s="263"/>
      <c r="HR82" s="263"/>
      <c r="HS82" s="263"/>
      <c r="HT82" s="263"/>
      <c r="HU82" s="263"/>
      <c r="HV82" s="263"/>
      <c r="HW82" s="263"/>
      <c r="HX82" s="263"/>
      <c r="HY82" s="263"/>
      <c r="HZ82" s="263"/>
      <c r="IA82" s="263"/>
      <c r="IB82" s="263"/>
      <c r="IC82" s="263"/>
      <c r="ID82" s="263"/>
      <c r="IE82" s="263"/>
      <c r="IF82" s="263"/>
      <c r="IG82" s="263"/>
      <c r="IH82" s="263"/>
      <c r="II82" s="263"/>
      <c r="IJ82" s="263"/>
      <c r="IK82" s="263"/>
      <c r="IL82" s="263"/>
      <c r="IM82" s="263"/>
      <c r="IN82" s="263"/>
      <c r="IO82" s="263"/>
      <c r="IP82" s="263"/>
      <c r="IQ82" s="263"/>
    </row>
    <row r="83" spans="1:251" s="377" customFormat="1" ht="9.9499999999999993" customHeight="1">
      <c r="A83" s="407"/>
      <c r="B83" s="353"/>
      <c r="C83" s="403"/>
      <c r="D83" s="403"/>
      <c r="E83" s="404"/>
      <c r="F83" s="368"/>
      <c r="G83" s="356"/>
      <c r="H83" s="356"/>
      <c r="I83" s="356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3"/>
      <c r="CM83" s="263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3"/>
      <c r="DB83" s="263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3"/>
      <c r="DQ83" s="263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3"/>
      <c r="EF83" s="263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3"/>
      <c r="EU83" s="263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3"/>
      <c r="FJ83" s="263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3"/>
      <c r="FY83" s="263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3"/>
      <c r="GN83" s="263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3"/>
      <c r="HC83" s="263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3"/>
      <c r="HR83" s="263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3"/>
      <c r="IG83" s="263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</row>
    <row r="84" spans="1:251" s="373" customFormat="1" ht="15">
      <c r="A84" s="280" t="s">
        <v>29</v>
      </c>
      <c r="B84" s="362" t="s">
        <v>30</v>
      </c>
      <c r="C84" s="283">
        <f>C86</f>
        <v>202000</v>
      </c>
      <c r="D84" s="283">
        <f>D86</f>
        <v>202000</v>
      </c>
      <c r="E84" s="363">
        <f>E86</f>
        <v>0</v>
      </c>
      <c r="F84" s="360"/>
      <c r="G84" s="283">
        <f>G86</f>
        <v>202000</v>
      </c>
      <c r="H84" s="283">
        <f>H86</f>
        <v>202000</v>
      </c>
      <c r="I84" s="283">
        <f>I86</f>
        <v>0</v>
      </c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85"/>
      <c r="BD84" s="285"/>
      <c r="BE84" s="285"/>
      <c r="BF84" s="285"/>
      <c r="BG84" s="285"/>
      <c r="BH84" s="285"/>
      <c r="BI84" s="285"/>
      <c r="BJ84" s="285"/>
      <c r="BK84" s="285"/>
      <c r="BL84" s="285"/>
      <c r="BM84" s="285"/>
      <c r="BN84" s="285"/>
      <c r="BO84" s="285"/>
      <c r="BP84" s="285"/>
      <c r="BQ84" s="285"/>
      <c r="BR84" s="285"/>
      <c r="BS84" s="285"/>
      <c r="BT84" s="285"/>
      <c r="BU84" s="285"/>
      <c r="BV84" s="285"/>
      <c r="BW84" s="285"/>
      <c r="BX84" s="285"/>
      <c r="BY84" s="285"/>
      <c r="BZ84" s="285"/>
      <c r="CA84" s="285"/>
      <c r="CB84" s="285"/>
      <c r="CC84" s="285"/>
      <c r="CD84" s="285"/>
      <c r="CE84" s="285"/>
      <c r="CF84" s="285"/>
      <c r="CG84" s="285"/>
      <c r="CH84" s="285"/>
      <c r="CI84" s="285"/>
      <c r="CJ84" s="285"/>
      <c r="CK84" s="285"/>
      <c r="CL84" s="285"/>
      <c r="CM84" s="285"/>
      <c r="CN84" s="285"/>
      <c r="CO84" s="285"/>
      <c r="CP84" s="285"/>
      <c r="CQ84" s="285"/>
      <c r="CR84" s="285"/>
      <c r="CS84" s="285"/>
      <c r="CT84" s="285"/>
      <c r="CU84" s="285"/>
      <c r="CV84" s="285"/>
      <c r="CW84" s="285"/>
      <c r="CX84" s="285"/>
      <c r="CY84" s="285"/>
      <c r="CZ84" s="285"/>
      <c r="DA84" s="285"/>
      <c r="DB84" s="285"/>
      <c r="DC84" s="285"/>
      <c r="DD84" s="285"/>
      <c r="DE84" s="285"/>
      <c r="DF84" s="285"/>
      <c r="DG84" s="285"/>
      <c r="DH84" s="285"/>
      <c r="DI84" s="285"/>
      <c r="DJ84" s="285"/>
      <c r="DK84" s="285"/>
      <c r="DL84" s="285"/>
      <c r="DM84" s="285"/>
      <c r="DN84" s="285"/>
      <c r="DO84" s="285"/>
      <c r="DP84" s="285"/>
      <c r="DQ84" s="285"/>
      <c r="DR84" s="285"/>
      <c r="DS84" s="285"/>
      <c r="DT84" s="285"/>
      <c r="DU84" s="285"/>
      <c r="DV84" s="285"/>
      <c r="DW84" s="285"/>
      <c r="DX84" s="285"/>
      <c r="DY84" s="285"/>
      <c r="DZ84" s="285"/>
      <c r="EA84" s="285"/>
      <c r="EB84" s="285"/>
      <c r="EC84" s="285"/>
      <c r="ED84" s="285"/>
      <c r="EE84" s="285"/>
      <c r="EF84" s="285"/>
      <c r="EG84" s="285"/>
      <c r="EH84" s="285"/>
      <c r="EI84" s="285"/>
      <c r="EJ84" s="285"/>
      <c r="EK84" s="285"/>
      <c r="EL84" s="285"/>
      <c r="EM84" s="285"/>
      <c r="EN84" s="285"/>
      <c r="EO84" s="285"/>
      <c r="EP84" s="285"/>
      <c r="EQ84" s="285"/>
      <c r="ER84" s="285"/>
      <c r="ES84" s="285"/>
      <c r="ET84" s="285"/>
      <c r="EU84" s="285"/>
      <c r="EV84" s="285"/>
      <c r="EW84" s="285"/>
      <c r="EX84" s="285"/>
      <c r="EY84" s="285"/>
      <c r="EZ84" s="285"/>
      <c r="FA84" s="285"/>
      <c r="FB84" s="285"/>
      <c r="FC84" s="285"/>
      <c r="FD84" s="285"/>
      <c r="FE84" s="285"/>
      <c r="FF84" s="285"/>
      <c r="FG84" s="285"/>
      <c r="FH84" s="285"/>
      <c r="FI84" s="285"/>
      <c r="FJ84" s="285"/>
      <c r="FK84" s="285"/>
      <c r="FL84" s="285"/>
      <c r="FM84" s="285"/>
      <c r="FN84" s="285"/>
      <c r="FO84" s="285"/>
      <c r="FP84" s="285"/>
      <c r="FQ84" s="285"/>
      <c r="FR84" s="285"/>
      <c r="FS84" s="285"/>
      <c r="FT84" s="285"/>
      <c r="FU84" s="285"/>
      <c r="FV84" s="285"/>
      <c r="FW84" s="285"/>
      <c r="FX84" s="285"/>
      <c r="FY84" s="285"/>
      <c r="FZ84" s="285"/>
      <c r="GA84" s="285"/>
      <c r="GB84" s="285"/>
      <c r="GC84" s="285"/>
      <c r="GD84" s="285"/>
      <c r="GE84" s="285"/>
      <c r="GF84" s="285"/>
      <c r="GG84" s="285"/>
      <c r="GH84" s="285"/>
      <c r="GI84" s="285"/>
      <c r="GJ84" s="285"/>
      <c r="GK84" s="285"/>
      <c r="GL84" s="285"/>
      <c r="GM84" s="285"/>
      <c r="GN84" s="285"/>
      <c r="GO84" s="285"/>
      <c r="GP84" s="285"/>
      <c r="GQ84" s="285"/>
      <c r="GR84" s="285"/>
      <c r="GS84" s="285"/>
      <c r="GT84" s="285"/>
      <c r="GU84" s="285"/>
      <c r="GV84" s="285"/>
      <c r="GW84" s="285"/>
      <c r="GX84" s="285"/>
      <c r="GY84" s="285"/>
      <c r="GZ84" s="285"/>
      <c r="HA84" s="285"/>
      <c r="HB84" s="285"/>
      <c r="HC84" s="285"/>
      <c r="HD84" s="285"/>
      <c r="HE84" s="285"/>
      <c r="HF84" s="285"/>
      <c r="HG84" s="285"/>
      <c r="HH84" s="285"/>
      <c r="HI84" s="285"/>
      <c r="HJ84" s="285"/>
      <c r="HK84" s="285"/>
      <c r="HL84" s="285"/>
      <c r="HM84" s="285"/>
      <c r="HN84" s="285"/>
      <c r="HO84" s="285"/>
      <c r="HP84" s="285"/>
      <c r="HQ84" s="285"/>
      <c r="HR84" s="285"/>
      <c r="HS84" s="285"/>
      <c r="HT84" s="285"/>
      <c r="HU84" s="285"/>
      <c r="HV84" s="285"/>
      <c r="HW84" s="285"/>
      <c r="HX84" s="285"/>
      <c r="HY84" s="285"/>
      <c r="HZ84" s="285"/>
      <c r="IA84" s="285"/>
      <c r="IB84" s="285"/>
      <c r="IC84" s="285"/>
      <c r="ID84" s="285"/>
      <c r="IE84" s="285"/>
      <c r="IF84" s="285"/>
      <c r="IG84" s="285"/>
      <c r="IH84" s="285"/>
      <c r="II84" s="285"/>
      <c r="IJ84" s="285"/>
      <c r="IK84" s="285"/>
      <c r="IL84" s="285"/>
      <c r="IM84" s="285"/>
      <c r="IN84" s="285"/>
      <c r="IO84" s="285"/>
      <c r="IP84" s="285"/>
      <c r="IQ84" s="285"/>
    </row>
    <row r="85" spans="1:251" s="373" customFormat="1" ht="9.9499999999999993" customHeight="1">
      <c r="A85" s="412"/>
      <c r="B85" s="394"/>
      <c r="C85" s="394"/>
      <c r="D85" s="394"/>
      <c r="E85" s="395"/>
      <c r="F85" s="368"/>
      <c r="G85" s="356"/>
      <c r="H85" s="356"/>
      <c r="I85" s="356"/>
    </row>
    <row r="86" spans="1:251" s="373" customFormat="1" ht="25.5">
      <c r="A86" s="369" t="s">
        <v>356</v>
      </c>
      <c r="B86" s="370" t="s">
        <v>357</v>
      </c>
      <c r="C86" s="371">
        <f>C88</f>
        <v>202000</v>
      </c>
      <c r="D86" s="371">
        <f>D88</f>
        <v>202000</v>
      </c>
      <c r="E86" s="372">
        <f>E88</f>
        <v>0</v>
      </c>
      <c r="F86" s="368"/>
      <c r="G86" s="371">
        <f>G88</f>
        <v>202000</v>
      </c>
      <c r="H86" s="371">
        <f>H88</f>
        <v>202000</v>
      </c>
      <c r="I86" s="371">
        <f>I88</f>
        <v>0</v>
      </c>
    </row>
    <row r="87" spans="1:251" s="373" customFormat="1" ht="9.9499999999999993" customHeight="1">
      <c r="A87" s="401"/>
      <c r="B87" s="401"/>
      <c r="C87" s="396"/>
      <c r="D87" s="396"/>
      <c r="E87" s="397"/>
      <c r="F87" s="368"/>
      <c r="G87" s="356"/>
      <c r="H87" s="356"/>
      <c r="I87" s="356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3"/>
      <c r="CM87" s="263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3"/>
      <c r="DB87" s="263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3"/>
      <c r="EF87" s="263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3"/>
      <c r="EU87" s="263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3"/>
      <c r="FJ87" s="263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3"/>
      <c r="FY87" s="263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3"/>
      <c r="GN87" s="263"/>
      <c r="GO87" s="263"/>
      <c r="GP87" s="263"/>
      <c r="GQ87" s="263"/>
      <c r="GR87" s="263"/>
      <c r="GS87" s="263"/>
      <c r="GT87" s="263"/>
      <c r="GU87" s="263"/>
      <c r="GV87" s="263"/>
      <c r="GW87" s="263"/>
      <c r="GX87" s="263"/>
      <c r="GY87" s="263"/>
      <c r="GZ87" s="263"/>
      <c r="HA87" s="263"/>
      <c r="HB87" s="263"/>
      <c r="HC87" s="263"/>
      <c r="HD87" s="263"/>
      <c r="HE87" s="263"/>
      <c r="HF87" s="263"/>
      <c r="HG87" s="263"/>
      <c r="HH87" s="263"/>
      <c r="HI87" s="263"/>
      <c r="HJ87" s="263"/>
      <c r="HK87" s="263"/>
      <c r="HL87" s="263"/>
      <c r="HM87" s="263"/>
      <c r="HN87" s="263"/>
      <c r="HO87" s="263"/>
      <c r="HP87" s="263"/>
      <c r="HQ87" s="263"/>
      <c r="HR87" s="263"/>
      <c r="HS87" s="263"/>
      <c r="HT87" s="263"/>
      <c r="HU87" s="263"/>
      <c r="HV87" s="263"/>
      <c r="HW87" s="263"/>
      <c r="HX87" s="263"/>
      <c r="HY87" s="263"/>
      <c r="HZ87" s="263"/>
      <c r="IA87" s="263"/>
      <c r="IB87" s="263"/>
      <c r="IC87" s="263"/>
      <c r="ID87" s="263"/>
      <c r="IE87" s="263"/>
      <c r="IF87" s="263"/>
      <c r="IG87" s="263"/>
      <c r="IH87" s="263"/>
      <c r="II87" s="263"/>
      <c r="IJ87" s="263"/>
      <c r="IK87" s="263"/>
      <c r="IL87" s="263"/>
      <c r="IM87" s="263"/>
      <c r="IN87" s="263"/>
      <c r="IO87" s="263"/>
      <c r="IP87" s="263"/>
      <c r="IQ87" s="263"/>
    </row>
    <row r="88" spans="1:251" ht="30" customHeight="1">
      <c r="A88" s="1099" t="s">
        <v>600</v>
      </c>
      <c r="B88" s="1099"/>
      <c r="C88" s="378">
        <f>C90</f>
        <v>202000</v>
      </c>
      <c r="D88" s="378">
        <f>D90</f>
        <v>202000</v>
      </c>
      <c r="E88" s="379">
        <f>E90</f>
        <v>0</v>
      </c>
      <c r="F88" s="368"/>
      <c r="G88" s="378">
        <f>G92+G94</f>
        <v>202000</v>
      </c>
      <c r="H88" s="378">
        <f>H92+H94</f>
        <v>202000</v>
      </c>
      <c r="I88" s="378">
        <f>I92+I94</f>
        <v>0</v>
      </c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77"/>
      <c r="Z88" s="377"/>
      <c r="AA88" s="377"/>
      <c r="AB88" s="377"/>
      <c r="AC88" s="377"/>
      <c r="AD88" s="377"/>
      <c r="AE88" s="377"/>
      <c r="AF88" s="377"/>
      <c r="AG88" s="377"/>
      <c r="AH88" s="377"/>
      <c r="AI88" s="377"/>
      <c r="AJ88" s="377"/>
      <c r="AK88" s="377"/>
      <c r="AL88" s="377"/>
      <c r="AM88" s="377"/>
      <c r="AN88" s="377"/>
      <c r="AO88" s="377"/>
      <c r="AP88" s="377"/>
      <c r="AQ88" s="377"/>
      <c r="AR88" s="377"/>
      <c r="AS88" s="377"/>
      <c r="AT88" s="377"/>
      <c r="AU88" s="377"/>
      <c r="AV88" s="377"/>
      <c r="AW88" s="377"/>
      <c r="AX88" s="377"/>
      <c r="AY88" s="377"/>
      <c r="AZ88" s="377"/>
      <c r="BA88" s="377"/>
      <c r="BB88" s="377"/>
      <c r="BC88" s="377"/>
      <c r="BD88" s="377"/>
      <c r="BE88" s="377"/>
      <c r="BF88" s="377"/>
      <c r="BG88" s="377"/>
      <c r="BH88" s="377"/>
      <c r="BI88" s="377"/>
      <c r="BJ88" s="377"/>
      <c r="BK88" s="377"/>
      <c r="BL88" s="377"/>
      <c r="BM88" s="377"/>
      <c r="BN88" s="377"/>
      <c r="BO88" s="377"/>
      <c r="BP88" s="377"/>
      <c r="BQ88" s="377"/>
      <c r="BR88" s="377"/>
      <c r="BS88" s="377"/>
      <c r="BT88" s="377"/>
      <c r="BU88" s="377"/>
      <c r="BV88" s="377"/>
      <c r="BW88" s="377"/>
      <c r="BX88" s="377"/>
      <c r="BY88" s="377"/>
      <c r="BZ88" s="377"/>
      <c r="CA88" s="377"/>
      <c r="CB88" s="377"/>
      <c r="CC88" s="377"/>
      <c r="CD88" s="377"/>
      <c r="CE88" s="377"/>
      <c r="CF88" s="377"/>
      <c r="CG88" s="377"/>
      <c r="CH88" s="377"/>
      <c r="CI88" s="377"/>
      <c r="CJ88" s="377"/>
      <c r="CK88" s="377"/>
      <c r="CL88" s="377"/>
      <c r="CM88" s="377"/>
      <c r="CN88" s="377"/>
      <c r="CO88" s="377"/>
      <c r="CP88" s="377"/>
      <c r="CQ88" s="377"/>
      <c r="CR88" s="377"/>
      <c r="CS88" s="377"/>
      <c r="CT88" s="377"/>
      <c r="CU88" s="377"/>
      <c r="CV88" s="377"/>
      <c r="CW88" s="377"/>
      <c r="CX88" s="377"/>
      <c r="CY88" s="377"/>
      <c r="CZ88" s="377"/>
      <c r="DA88" s="377"/>
      <c r="DB88" s="377"/>
      <c r="DC88" s="377"/>
      <c r="DD88" s="377"/>
      <c r="DE88" s="377"/>
      <c r="DF88" s="377"/>
      <c r="DG88" s="377"/>
      <c r="DH88" s="377"/>
      <c r="DI88" s="377"/>
      <c r="DJ88" s="377"/>
      <c r="DK88" s="377"/>
      <c r="DL88" s="377"/>
      <c r="DM88" s="377"/>
      <c r="DN88" s="377"/>
      <c r="DO88" s="377"/>
      <c r="DP88" s="377"/>
      <c r="DQ88" s="377"/>
      <c r="DR88" s="377"/>
      <c r="DS88" s="377"/>
      <c r="DT88" s="377"/>
      <c r="DU88" s="377"/>
      <c r="DV88" s="377"/>
      <c r="DW88" s="377"/>
      <c r="DX88" s="377"/>
      <c r="DY88" s="377"/>
      <c r="DZ88" s="377"/>
      <c r="EA88" s="377"/>
      <c r="EB88" s="377"/>
      <c r="EC88" s="377"/>
      <c r="ED88" s="377"/>
      <c r="EE88" s="377"/>
      <c r="EF88" s="377"/>
      <c r="EG88" s="377"/>
      <c r="EH88" s="377"/>
      <c r="EI88" s="377"/>
      <c r="EJ88" s="377"/>
      <c r="EK88" s="377"/>
      <c r="EL88" s="377"/>
      <c r="EM88" s="377"/>
      <c r="EN88" s="377"/>
      <c r="EO88" s="377"/>
      <c r="EP88" s="377"/>
      <c r="EQ88" s="377"/>
      <c r="ER88" s="377"/>
      <c r="ES88" s="377"/>
      <c r="ET88" s="377"/>
      <c r="EU88" s="377"/>
      <c r="EV88" s="377"/>
      <c r="EW88" s="377"/>
      <c r="EX88" s="377"/>
      <c r="EY88" s="377"/>
      <c r="EZ88" s="377"/>
      <c r="FA88" s="377"/>
      <c r="FB88" s="377"/>
      <c r="FC88" s="377"/>
      <c r="FD88" s="377"/>
      <c r="FE88" s="377"/>
      <c r="FF88" s="377"/>
      <c r="FG88" s="377"/>
      <c r="FH88" s="377"/>
      <c r="FI88" s="377"/>
      <c r="FJ88" s="377"/>
      <c r="FK88" s="377"/>
      <c r="FL88" s="377"/>
      <c r="FM88" s="377"/>
      <c r="FN88" s="377"/>
      <c r="FO88" s="377"/>
      <c r="FP88" s="377"/>
      <c r="FQ88" s="377"/>
      <c r="FR88" s="377"/>
      <c r="FS88" s="377"/>
      <c r="FT88" s="377"/>
      <c r="FU88" s="377"/>
      <c r="FV88" s="377"/>
      <c r="FW88" s="377"/>
      <c r="FX88" s="377"/>
      <c r="FY88" s="377"/>
      <c r="FZ88" s="377"/>
      <c r="GA88" s="377"/>
      <c r="GB88" s="377"/>
      <c r="GC88" s="377"/>
      <c r="GD88" s="377"/>
      <c r="GE88" s="377"/>
      <c r="GF88" s="377"/>
      <c r="GG88" s="377"/>
      <c r="GH88" s="377"/>
      <c r="GI88" s="377"/>
      <c r="GJ88" s="377"/>
      <c r="GK88" s="377"/>
      <c r="GL88" s="377"/>
      <c r="GM88" s="377"/>
      <c r="GN88" s="377"/>
      <c r="GO88" s="377"/>
      <c r="GP88" s="377"/>
      <c r="GQ88" s="377"/>
      <c r="GR88" s="377"/>
      <c r="GS88" s="377"/>
      <c r="GT88" s="377"/>
      <c r="GU88" s="377"/>
      <c r="GV88" s="377"/>
      <c r="GW88" s="377"/>
      <c r="GX88" s="377"/>
      <c r="GY88" s="377"/>
      <c r="GZ88" s="377"/>
      <c r="HA88" s="377"/>
      <c r="HB88" s="377"/>
      <c r="HC88" s="377"/>
      <c r="HD88" s="377"/>
      <c r="HE88" s="377"/>
      <c r="HF88" s="377"/>
      <c r="HG88" s="377"/>
      <c r="HH88" s="377"/>
      <c r="HI88" s="377"/>
      <c r="HJ88" s="377"/>
      <c r="HK88" s="377"/>
      <c r="HL88" s="377"/>
      <c r="HM88" s="377"/>
      <c r="HN88" s="377"/>
      <c r="HO88" s="377"/>
      <c r="HP88" s="377"/>
      <c r="HQ88" s="377"/>
      <c r="HR88" s="377"/>
      <c r="HS88" s="377"/>
      <c r="HT88" s="377"/>
      <c r="HU88" s="377"/>
      <c r="HV88" s="377"/>
      <c r="HW88" s="377"/>
      <c r="HX88" s="377"/>
      <c r="HY88" s="377"/>
      <c r="HZ88" s="377"/>
      <c r="IA88" s="377"/>
      <c r="IB88" s="377"/>
      <c r="IC88" s="377"/>
      <c r="ID88" s="377"/>
      <c r="IE88" s="377"/>
      <c r="IF88" s="377"/>
      <c r="IG88" s="377"/>
      <c r="IH88" s="377"/>
      <c r="II88" s="377"/>
      <c r="IJ88" s="377"/>
      <c r="IK88" s="377"/>
      <c r="IL88" s="377"/>
      <c r="IM88" s="377"/>
      <c r="IN88" s="377"/>
      <c r="IO88" s="377"/>
      <c r="IP88" s="377"/>
      <c r="IQ88" s="377"/>
    </row>
    <row r="89" spans="1:251" ht="9.9499999999999993" customHeight="1">
      <c r="A89" s="369"/>
      <c r="B89" s="398"/>
      <c r="C89" s="371"/>
      <c r="D89" s="371"/>
      <c r="E89" s="372"/>
      <c r="F89" s="368"/>
      <c r="G89" s="399"/>
      <c r="H89" s="399"/>
      <c r="I89" s="399"/>
      <c r="J89" s="373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3"/>
      <c r="X89" s="373"/>
      <c r="Y89" s="373"/>
      <c r="Z89" s="373"/>
      <c r="AA89" s="373"/>
      <c r="AB89" s="373"/>
      <c r="AC89" s="373"/>
      <c r="AD89" s="373"/>
      <c r="AE89" s="373"/>
      <c r="AF89" s="373"/>
      <c r="AG89" s="373"/>
      <c r="AH89" s="373"/>
      <c r="AI89" s="373"/>
      <c r="AJ89" s="373"/>
      <c r="AK89" s="373"/>
      <c r="AL89" s="373"/>
      <c r="AM89" s="373"/>
      <c r="AN89" s="373"/>
      <c r="AO89" s="373"/>
      <c r="AP89" s="373"/>
      <c r="AQ89" s="373"/>
      <c r="AR89" s="373"/>
      <c r="AS89" s="373"/>
      <c r="AT89" s="373"/>
      <c r="AU89" s="373"/>
      <c r="AV89" s="373"/>
      <c r="AW89" s="373"/>
      <c r="AX89" s="373"/>
      <c r="AY89" s="373"/>
      <c r="AZ89" s="373"/>
      <c r="BA89" s="373"/>
      <c r="BB89" s="373"/>
      <c r="BC89" s="373"/>
      <c r="BD89" s="373"/>
      <c r="BE89" s="373"/>
      <c r="BF89" s="373"/>
      <c r="BG89" s="373"/>
      <c r="BH89" s="373"/>
      <c r="BI89" s="373"/>
      <c r="BJ89" s="373"/>
      <c r="BK89" s="373"/>
      <c r="BL89" s="373"/>
      <c r="BM89" s="373"/>
      <c r="BN89" s="373"/>
      <c r="BO89" s="373"/>
      <c r="BP89" s="373"/>
      <c r="BQ89" s="373"/>
      <c r="BR89" s="373"/>
      <c r="BS89" s="373"/>
      <c r="BT89" s="373"/>
      <c r="BU89" s="373"/>
      <c r="BV89" s="373"/>
      <c r="BW89" s="373"/>
      <c r="BX89" s="373"/>
      <c r="BY89" s="373"/>
      <c r="BZ89" s="373"/>
      <c r="CA89" s="373"/>
      <c r="CB89" s="373"/>
      <c r="CC89" s="373"/>
      <c r="CD89" s="373"/>
      <c r="CE89" s="373"/>
      <c r="CF89" s="373"/>
      <c r="CG89" s="373"/>
      <c r="CH89" s="373"/>
      <c r="CI89" s="373"/>
      <c r="CJ89" s="373"/>
      <c r="CK89" s="373"/>
      <c r="CL89" s="373"/>
      <c r="CM89" s="373"/>
      <c r="CN89" s="373"/>
      <c r="CO89" s="373"/>
      <c r="CP89" s="373"/>
      <c r="CQ89" s="373"/>
      <c r="CR89" s="373"/>
      <c r="CS89" s="373"/>
      <c r="CT89" s="373"/>
      <c r="CU89" s="373"/>
      <c r="CV89" s="373"/>
      <c r="CW89" s="373"/>
      <c r="CX89" s="373"/>
      <c r="CY89" s="373"/>
      <c r="CZ89" s="373"/>
      <c r="DA89" s="373"/>
      <c r="DB89" s="373"/>
      <c r="DC89" s="373"/>
      <c r="DD89" s="373"/>
      <c r="DE89" s="373"/>
      <c r="DF89" s="373"/>
      <c r="DG89" s="373"/>
      <c r="DH89" s="373"/>
      <c r="DI89" s="373"/>
      <c r="DJ89" s="373"/>
      <c r="DK89" s="373"/>
      <c r="DL89" s="373"/>
      <c r="DM89" s="373"/>
      <c r="DN89" s="373"/>
      <c r="DO89" s="373"/>
      <c r="DP89" s="373"/>
      <c r="DQ89" s="373"/>
      <c r="DR89" s="373"/>
      <c r="DS89" s="373"/>
      <c r="DT89" s="373"/>
      <c r="DU89" s="373"/>
      <c r="DV89" s="373"/>
      <c r="DW89" s="373"/>
      <c r="DX89" s="373"/>
      <c r="DY89" s="373"/>
      <c r="DZ89" s="373"/>
      <c r="EA89" s="373"/>
      <c r="EB89" s="373"/>
      <c r="EC89" s="373"/>
      <c r="ED89" s="373"/>
      <c r="EE89" s="373"/>
      <c r="EF89" s="373"/>
      <c r="EG89" s="373"/>
      <c r="EH89" s="373"/>
      <c r="EI89" s="373"/>
      <c r="EJ89" s="373"/>
      <c r="EK89" s="373"/>
      <c r="EL89" s="373"/>
      <c r="EM89" s="373"/>
      <c r="EN89" s="373"/>
      <c r="EO89" s="373"/>
      <c r="EP89" s="373"/>
      <c r="EQ89" s="373"/>
      <c r="ER89" s="373"/>
      <c r="ES89" s="373"/>
      <c r="ET89" s="373"/>
      <c r="EU89" s="373"/>
      <c r="EV89" s="373"/>
      <c r="EW89" s="373"/>
      <c r="EX89" s="373"/>
      <c r="EY89" s="373"/>
      <c r="EZ89" s="373"/>
      <c r="FA89" s="373"/>
      <c r="FB89" s="373"/>
      <c r="FC89" s="373"/>
      <c r="FD89" s="373"/>
      <c r="FE89" s="373"/>
      <c r="FF89" s="373"/>
      <c r="FG89" s="373"/>
      <c r="FH89" s="373"/>
      <c r="FI89" s="373"/>
      <c r="FJ89" s="373"/>
      <c r="FK89" s="373"/>
      <c r="FL89" s="373"/>
      <c r="FM89" s="373"/>
      <c r="FN89" s="373"/>
      <c r="FO89" s="373"/>
      <c r="FP89" s="373"/>
      <c r="FQ89" s="373"/>
      <c r="FR89" s="373"/>
      <c r="FS89" s="373"/>
      <c r="FT89" s="373"/>
      <c r="FU89" s="373"/>
      <c r="FV89" s="373"/>
      <c r="FW89" s="373"/>
      <c r="FX89" s="373"/>
      <c r="FY89" s="373"/>
      <c r="FZ89" s="373"/>
      <c r="GA89" s="373"/>
      <c r="GB89" s="373"/>
      <c r="GC89" s="373"/>
      <c r="GD89" s="373"/>
      <c r="GE89" s="373"/>
      <c r="GF89" s="373"/>
      <c r="GG89" s="373"/>
      <c r="GH89" s="373"/>
      <c r="GI89" s="373"/>
      <c r="GJ89" s="373"/>
      <c r="GK89" s="373"/>
      <c r="GL89" s="373"/>
      <c r="GM89" s="373"/>
      <c r="GN89" s="373"/>
      <c r="GO89" s="373"/>
      <c r="GP89" s="373"/>
      <c r="GQ89" s="373"/>
      <c r="GR89" s="373"/>
      <c r="GS89" s="373"/>
      <c r="GT89" s="373"/>
      <c r="GU89" s="373"/>
      <c r="GV89" s="373"/>
      <c r="GW89" s="373"/>
      <c r="GX89" s="373"/>
      <c r="GY89" s="373"/>
      <c r="GZ89" s="373"/>
      <c r="HA89" s="373"/>
      <c r="HB89" s="373"/>
      <c r="HC89" s="373"/>
      <c r="HD89" s="373"/>
      <c r="HE89" s="373"/>
      <c r="HF89" s="373"/>
      <c r="HG89" s="373"/>
      <c r="HH89" s="373"/>
      <c r="HI89" s="373"/>
      <c r="HJ89" s="373"/>
      <c r="HK89" s="373"/>
      <c r="HL89" s="373"/>
      <c r="HM89" s="373"/>
      <c r="HN89" s="373"/>
      <c r="HO89" s="373"/>
      <c r="HP89" s="373"/>
      <c r="HQ89" s="373"/>
      <c r="HR89" s="373"/>
      <c r="HS89" s="373"/>
      <c r="HT89" s="373"/>
      <c r="HU89" s="373"/>
      <c r="HV89" s="373"/>
      <c r="HW89" s="373"/>
      <c r="HX89" s="373"/>
      <c r="HY89" s="373"/>
      <c r="HZ89" s="373"/>
      <c r="IA89" s="373"/>
      <c r="IB89" s="373"/>
      <c r="IC89" s="373"/>
      <c r="ID89" s="373"/>
      <c r="IE89" s="373"/>
      <c r="IF89" s="373"/>
      <c r="IG89" s="373"/>
      <c r="IH89" s="373"/>
      <c r="II89" s="373"/>
      <c r="IJ89" s="373"/>
      <c r="IK89" s="373"/>
      <c r="IL89" s="373"/>
      <c r="IM89" s="373"/>
      <c r="IN89" s="373"/>
      <c r="IO89" s="373"/>
      <c r="IP89" s="373"/>
      <c r="IQ89" s="373"/>
    </row>
    <row r="90" spans="1:251" s="285" customFormat="1" ht="15">
      <c r="A90" s="384"/>
      <c r="B90" s="385" t="s">
        <v>591</v>
      </c>
      <c r="C90" s="356">
        <f>D90+E90</f>
        <v>202000</v>
      </c>
      <c r="D90" s="356">
        <v>202000</v>
      </c>
      <c r="E90" s="376">
        <v>0</v>
      </c>
      <c r="F90" s="368"/>
      <c r="G90" s="386" t="s">
        <v>421</v>
      </c>
      <c r="H90" s="386" t="s">
        <v>421</v>
      </c>
      <c r="I90" s="386" t="s">
        <v>421</v>
      </c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3"/>
      <c r="BX90" s="263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3"/>
      <c r="CM90" s="263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3"/>
      <c r="DB90" s="263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3"/>
      <c r="DQ90" s="263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3"/>
      <c r="EF90" s="263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3"/>
      <c r="EU90" s="263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3"/>
      <c r="FJ90" s="263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3"/>
      <c r="FY90" s="263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3"/>
      <c r="GN90" s="263"/>
      <c r="GO90" s="263"/>
      <c r="GP90" s="263"/>
      <c r="GQ90" s="263"/>
      <c r="GR90" s="263"/>
      <c r="GS90" s="263"/>
      <c r="GT90" s="263"/>
      <c r="GU90" s="263"/>
      <c r="GV90" s="263"/>
      <c r="GW90" s="263"/>
      <c r="GX90" s="263"/>
      <c r="GY90" s="263"/>
      <c r="GZ90" s="263"/>
      <c r="HA90" s="263"/>
      <c r="HB90" s="263"/>
      <c r="HC90" s="263"/>
      <c r="HD90" s="263"/>
      <c r="HE90" s="263"/>
      <c r="HF90" s="263"/>
      <c r="HG90" s="263"/>
      <c r="HH90" s="263"/>
      <c r="HI90" s="263"/>
      <c r="HJ90" s="263"/>
      <c r="HK90" s="263"/>
      <c r="HL90" s="263"/>
      <c r="HM90" s="263"/>
      <c r="HN90" s="263"/>
      <c r="HO90" s="263"/>
      <c r="HP90" s="263"/>
      <c r="HQ90" s="263"/>
      <c r="HR90" s="263"/>
      <c r="HS90" s="263"/>
      <c r="HT90" s="263"/>
      <c r="HU90" s="263"/>
      <c r="HV90" s="263"/>
      <c r="HW90" s="263"/>
      <c r="HX90" s="263"/>
      <c r="HY90" s="263"/>
      <c r="HZ90" s="263"/>
      <c r="IA90" s="263"/>
      <c r="IB90" s="263"/>
      <c r="IC90" s="263"/>
      <c r="ID90" s="263"/>
      <c r="IE90" s="263"/>
      <c r="IF90" s="263"/>
      <c r="IG90" s="263"/>
      <c r="IH90" s="263"/>
      <c r="II90" s="263"/>
      <c r="IJ90" s="263"/>
      <c r="IK90" s="263"/>
      <c r="IL90" s="263"/>
      <c r="IM90" s="263"/>
      <c r="IN90" s="263"/>
      <c r="IO90" s="263"/>
      <c r="IP90" s="263"/>
      <c r="IQ90" s="263"/>
    </row>
    <row r="91" spans="1:251" s="377" customFormat="1" ht="9.9499999999999993" customHeight="1">
      <c r="A91" s="384"/>
      <c r="B91" s="385"/>
      <c r="C91" s="356"/>
      <c r="D91" s="356"/>
      <c r="E91" s="376"/>
      <c r="F91" s="408"/>
      <c r="G91" s="356"/>
      <c r="H91" s="356"/>
      <c r="I91" s="356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3"/>
      <c r="BX91" s="263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3"/>
      <c r="CM91" s="263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3"/>
      <c r="DB91" s="263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3"/>
      <c r="DQ91" s="263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3"/>
      <c r="EF91" s="263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3"/>
      <c r="EU91" s="263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3"/>
      <c r="FJ91" s="263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3"/>
      <c r="FY91" s="263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3"/>
      <c r="GN91" s="263"/>
      <c r="GO91" s="263"/>
      <c r="GP91" s="263"/>
      <c r="GQ91" s="263"/>
      <c r="GR91" s="263"/>
      <c r="GS91" s="263"/>
      <c r="GT91" s="263"/>
      <c r="GU91" s="263"/>
      <c r="GV91" s="263"/>
      <c r="GW91" s="263"/>
      <c r="GX91" s="263"/>
      <c r="GY91" s="263"/>
      <c r="GZ91" s="263"/>
      <c r="HA91" s="263"/>
      <c r="HB91" s="263"/>
      <c r="HC91" s="263"/>
      <c r="HD91" s="263"/>
      <c r="HE91" s="263"/>
      <c r="HF91" s="263"/>
      <c r="HG91" s="263"/>
      <c r="HH91" s="263"/>
      <c r="HI91" s="263"/>
      <c r="HJ91" s="263"/>
      <c r="HK91" s="263"/>
      <c r="HL91" s="263"/>
      <c r="HM91" s="263"/>
      <c r="HN91" s="263"/>
      <c r="HO91" s="263"/>
      <c r="HP91" s="263"/>
      <c r="HQ91" s="263"/>
      <c r="HR91" s="263"/>
      <c r="HS91" s="263"/>
      <c r="HT91" s="263"/>
      <c r="HU91" s="263"/>
      <c r="HV91" s="263"/>
      <c r="HW91" s="263"/>
      <c r="HX91" s="263"/>
      <c r="HY91" s="263"/>
      <c r="HZ91" s="263"/>
      <c r="IA91" s="263"/>
      <c r="IB91" s="263"/>
      <c r="IC91" s="263"/>
      <c r="ID91" s="263"/>
      <c r="IE91" s="263"/>
      <c r="IF91" s="263"/>
      <c r="IG91" s="263"/>
      <c r="IH91" s="263"/>
      <c r="II91" s="263"/>
      <c r="IJ91" s="263"/>
      <c r="IK91" s="263"/>
      <c r="IL91" s="263"/>
      <c r="IM91" s="263"/>
      <c r="IN91" s="263"/>
      <c r="IO91" s="263"/>
      <c r="IP91" s="263"/>
      <c r="IQ91" s="263"/>
    </row>
    <row r="92" spans="1:251" s="373" customFormat="1">
      <c r="A92" s="384"/>
      <c r="B92" s="391" t="s">
        <v>314</v>
      </c>
      <c r="C92" s="386" t="s">
        <v>421</v>
      </c>
      <c r="D92" s="386" t="s">
        <v>421</v>
      </c>
      <c r="E92" s="400" t="s">
        <v>421</v>
      </c>
      <c r="F92" s="405"/>
      <c r="G92" s="356">
        <f>H92+I92</f>
        <v>141500</v>
      </c>
      <c r="H92" s="356">
        <f>111000+7000+19100+2700+1700</f>
        <v>141500</v>
      </c>
      <c r="I92" s="356">
        <v>0</v>
      </c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  <c r="BI92" s="263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3"/>
      <c r="BX92" s="263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3"/>
      <c r="CM92" s="263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3"/>
      <c r="DB92" s="263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3"/>
      <c r="DQ92" s="263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3"/>
      <c r="EF92" s="263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3"/>
      <c r="EU92" s="263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3"/>
      <c r="FJ92" s="263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3"/>
      <c r="FY92" s="263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3"/>
      <c r="GN92" s="263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3"/>
      <c r="HC92" s="263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3"/>
      <c r="HR92" s="263"/>
      <c r="HS92" s="263"/>
      <c r="HT92" s="263"/>
      <c r="HU92" s="263"/>
      <c r="HV92" s="263"/>
      <c r="HW92" s="263"/>
      <c r="HX92" s="263"/>
      <c r="HY92" s="263"/>
      <c r="HZ92" s="263"/>
      <c r="IA92" s="263"/>
      <c r="IB92" s="263"/>
      <c r="IC92" s="263"/>
      <c r="ID92" s="263"/>
      <c r="IE92" s="263"/>
      <c r="IF92" s="263"/>
      <c r="IG92" s="263"/>
      <c r="IH92" s="263"/>
      <c r="II92" s="263"/>
      <c r="IJ92" s="263"/>
      <c r="IK92" s="263"/>
      <c r="IL92" s="263"/>
      <c r="IM92" s="263"/>
      <c r="IN92" s="263"/>
      <c r="IO92" s="263"/>
      <c r="IP92" s="263"/>
      <c r="IQ92" s="263"/>
    </row>
    <row r="93" spans="1:251" s="373" customFormat="1" ht="9.9499999999999993" customHeight="1">
      <c r="A93" s="352"/>
      <c r="B93" s="413"/>
      <c r="C93" s="392"/>
      <c r="D93" s="392"/>
      <c r="E93" s="393"/>
      <c r="F93" s="368"/>
      <c r="G93" s="356"/>
      <c r="H93" s="356"/>
      <c r="I93" s="356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3"/>
      <c r="BX93" s="263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63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3"/>
      <c r="DQ93" s="263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3"/>
      <c r="EF93" s="263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3"/>
      <c r="EU93" s="263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3"/>
      <c r="FJ93" s="263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3"/>
      <c r="FY93" s="263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3"/>
      <c r="GN93" s="263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3"/>
      <c r="HC93" s="263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3"/>
      <c r="HR93" s="263"/>
      <c r="HS93" s="263"/>
      <c r="HT93" s="263"/>
      <c r="HU93" s="263"/>
      <c r="HV93" s="263"/>
      <c r="HW93" s="263"/>
      <c r="HX93" s="263"/>
      <c r="HY93" s="263"/>
      <c r="HZ93" s="263"/>
      <c r="IA93" s="263"/>
      <c r="IB93" s="263"/>
      <c r="IC93" s="263"/>
      <c r="ID93" s="263"/>
      <c r="IE93" s="263"/>
      <c r="IF93" s="263"/>
      <c r="IG93" s="263"/>
      <c r="IH93" s="263"/>
      <c r="II93" s="263"/>
      <c r="IJ93" s="263"/>
      <c r="IK93" s="263"/>
      <c r="IL93" s="263"/>
      <c r="IM93" s="263"/>
      <c r="IN93" s="263"/>
      <c r="IO93" s="263"/>
      <c r="IP93" s="263"/>
      <c r="IQ93" s="263"/>
    </row>
    <row r="94" spans="1:251" s="373" customFormat="1">
      <c r="A94" s="352"/>
      <c r="B94" s="391" t="s">
        <v>592</v>
      </c>
      <c r="C94" s="392" t="s">
        <v>421</v>
      </c>
      <c r="D94" s="392" t="s">
        <v>421</v>
      </c>
      <c r="E94" s="393" t="s">
        <v>421</v>
      </c>
      <c r="F94" s="368"/>
      <c r="G94" s="356">
        <f>H94+I94</f>
        <v>60500</v>
      </c>
      <c r="H94" s="356">
        <f>4000+2000+4000+50000+500</f>
        <v>60500</v>
      </c>
      <c r="I94" s="356">
        <v>0</v>
      </c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3"/>
      <c r="BX94" s="263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3"/>
      <c r="CM94" s="263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3"/>
      <c r="DB94" s="263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3"/>
      <c r="DQ94" s="263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3"/>
      <c r="EF94" s="263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3"/>
      <c r="EU94" s="263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3"/>
      <c r="FJ94" s="263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3"/>
      <c r="FY94" s="263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3"/>
      <c r="GN94" s="263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3"/>
      <c r="HC94" s="263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3"/>
      <c r="HR94" s="263"/>
      <c r="HS94" s="263"/>
      <c r="HT94" s="263"/>
      <c r="HU94" s="263"/>
      <c r="HV94" s="263"/>
      <c r="HW94" s="263"/>
      <c r="HX94" s="263"/>
      <c r="HY94" s="263"/>
      <c r="HZ94" s="263"/>
      <c r="IA94" s="263"/>
      <c r="IB94" s="263"/>
      <c r="IC94" s="263"/>
      <c r="ID94" s="263"/>
      <c r="IE94" s="263"/>
      <c r="IF94" s="263"/>
      <c r="IG94" s="263"/>
      <c r="IH94" s="263"/>
      <c r="II94" s="263"/>
      <c r="IJ94" s="263"/>
      <c r="IK94" s="263"/>
      <c r="IL94" s="263"/>
      <c r="IM94" s="263"/>
      <c r="IN94" s="263"/>
      <c r="IO94" s="263"/>
      <c r="IP94" s="263"/>
      <c r="IQ94" s="263"/>
    </row>
    <row r="95" spans="1:251" s="373" customFormat="1" ht="9.9499999999999993" customHeight="1">
      <c r="A95" s="407"/>
      <c r="B95" s="353"/>
      <c r="C95" s="403"/>
      <c r="D95" s="403"/>
      <c r="E95" s="404"/>
      <c r="F95" s="368"/>
      <c r="G95" s="356"/>
      <c r="H95" s="356"/>
      <c r="I95" s="356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3"/>
      <c r="BI95" s="263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3"/>
      <c r="BX95" s="263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3"/>
      <c r="CM95" s="263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3"/>
      <c r="DB95" s="263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3"/>
      <c r="DQ95" s="263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3"/>
      <c r="EF95" s="263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3"/>
      <c r="EU95" s="263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3"/>
      <c r="FJ95" s="263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3"/>
      <c r="FY95" s="263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3"/>
      <c r="GN95" s="263"/>
      <c r="GO95" s="263"/>
      <c r="GP95" s="263"/>
      <c r="GQ95" s="263"/>
      <c r="GR95" s="263"/>
      <c r="GS95" s="263"/>
      <c r="GT95" s="263"/>
      <c r="GU95" s="263"/>
      <c r="GV95" s="263"/>
      <c r="GW95" s="263"/>
      <c r="GX95" s="263"/>
      <c r="GY95" s="263"/>
      <c r="GZ95" s="263"/>
      <c r="HA95" s="263"/>
      <c r="HB95" s="263"/>
      <c r="HC95" s="263"/>
      <c r="HD95" s="263"/>
      <c r="HE95" s="263"/>
      <c r="HF95" s="263"/>
      <c r="HG95" s="263"/>
      <c r="HH95" s="263"/>
      <c r="HI95" s="263"/>
      <c r="HJ95" s="263"/>
      <c r="HK95" s="263"/>
      <c r="HL95" s="263"/>
      <c r="HM95" s="263"/>
      <c r="HN95" s="263"/>
      <c r="HO95" s="263"/>
      <c r="HP95" s="263"/>
      <c r="HQ95" s="263"/>
      <c r="HR95" s="263"/>
      <c r="HS95" s="263"/>
      <c r="HT95" s="263"/>
      <c r="HU95" s="263"/>
      <c r="HV95" s="263"/>
      <c r="HW95" s="263"/>
      <c r="HX95" s="263"/>
      <c r="HY95" s="263"/>
      <c r="HZ95" s="263"/>
      <c r="IA95" s="263"/>
      <c r="IB95" s="263"/>
      <c r="IC95" s="263"/>
      <c r="ID95" s="263"/>
      <c r="IE95" s="263"/>
      <c r="IF95" s="263"/>
      <c r="IG95" s="263"/>
      <c r="IH95" s="263"/>
      <c r="II95" s="263"/>
      <c r="IJ95" s="263"/>
      <c r="IK95" s="263"/>
      <c r="IL95" s="263"/>
      <c r="IM95" s="263"/>
      <c r="IN95" s="263"/>
      <c r="IO95" s="263"/>
      <c r="IP95" s="263"/>
      <c r="IQ95" s="263"/>
    </row>
    <row r="96" spans="1:251" ht="15">
      <c r="A96" s="280" t="s">
        <v>31</v>
      </c>
      <c r="B96" s="362" t="s">
        <v>32</v>
      </c>
      <c r="C96" s="283">
        <f>C98</f>
        <v>5000</v>
      </c>
      <c r="D96" s="283">
        <f>D98</f>
        <v>5000</v>
      </c>
      <c r="E96" s="363">
        <f>E98</f>
        <v>0</v>
      </c>
      <c r="F96" s="360"/>
      <c r="G96" s="283">
        <f>G98</f>
        <v>5000</v>
      </c>
      <c r="H96" s="283">
        <f>H98</f>
        <v>5000</v>
      </c>
      <c r="I96" s="283">
        <f>I98</f>
        <v>0</v>
      </c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5"/>
      <c r="AL96" s="285"/>
      <c r="AM96" s="285"/>
      <c r="AN96" s="285"/>
      <c r="AO96" s="285"/>
      <c r="AP96" s="285"/>
      <c r="AQ96" s="285"/>
      <c r="AR96" s="285"/>
      <c r="AS96" s="285"/>
      <c r="AT96" s="285"/>
      <c r="AU96" s="285"/>
      <c r="AV96" s="285"/>
      <c r="AW96" s="285"/>
      <c r="AX96" s="285"/>
      <c r="AY96" s="285"/>
      <c r="AZ96" s="285"/>
      <c r="BA96" s="285"/>
      <c r="BB96" s="285"/>
      <c r="BC96" s="285"/>
      <c r="BD96" s="285"/>
      <c r="BE96" s="285"/>
      <c r="BF96" s="285"/>
      <c r="BG96" s="285"/>
      <c r="BH96" s="285"/>
      <c r="BI96" s="285"/>
      <c r="BJ96" s="285"/>
      <c r="BK96" s="285"/>
      <c r="BL96" s="285"/>
      <c r="BM96" s="285"/>
      <c r="BN96" s="285"/>
      <c r="BO96" s="285"/>
      <c r="BP96" s="285"/>
      <c r="BQ96" s="285"/>
      <c r="BR96" s="285"/>
      <c r="BS96" s="285"/>
      <c r="BT96" s="285"/>
      <c r="BU96" s="285"/>
      <c r="BV96" s="285"/>
      <c r="BW96" s="285"/>
      <c r="BX96" s="285"/>
      <c r="BY96" s="285"/>
      <c r="BZ96" s="285"/>
      <c r="CA96" s="285"/>
      <c r="CB96" s="285"/>
      <c r="CC96" s="285"/>
      <c r="CD96" s="285"/>
      <c r="CE96" s="285"/>
      <c r="CF96" s="285"/>
      <c r="CG96" s="285"/>
      <c r="CH96" s="285"/>
      <c r="CI96" s="285"/>
      <c r="CJ96" s="285"/>
      <c r="CK96" s="285"/>
      <c r="CL96" s="285"/>
      <c r="CM96" s="285"/>
      <c r="CN96" s="285"/>
      <c r="CO96" s="285"/>
      <c r="CP96" s="285"/>
      <c r="CQ96" s="285"/>
      <c r="CR96" s="285"/>
      <c r="CS96" s="285"/>
      <c r="CT96" s="285"/>
      <c r="CU96" s="285"/>
      <c r="CV96" s="285"/>
      <c r="CW96" s="285"/>
      <c r="CX96" s="285"/>
      <c r="CY96" s="285"/>
      <c r="CZ96" s="285"/>
      <c r="DA96" s="285"/>
      <c r="DB96" s="285"/>
      <c r="DC96" s="285"/>
      <c r="DD96" s="285"/>
      <c r="DE96" s="285"/>
      <c r="DF96" s="285"/>
      <c r="DG96" s="285"/>
      <c r="DH96" s="285"/>
      <c r="DI96" s="285"/>
      <c r="DJ96" s="285"/>
      <c r="DK96" s="285"/>
      <c r="DL96" s="285"/>
      <c r="DM96" s="285"/>
      <c r="DN96" s="285"/>
      <c r="DO96" s="285"/>
      <c r="DP96" s="285"/>
      <c r="DQ96" s="285"/>
      <c r="DR96" s="285"/>
      <c r="DS96" s="285"/>
      <c r="DT96" s="285"/>
      <c r="DU96" s="285"/>
      <c r="DV96" s="285"/>
      <c r="DW96" s="285"/>
      <c r="DX96" s="285"/>
      <c r="DY96" s="285"/>
      <c r="DZ96" s="285"/>
      <c r="EA96" s="285"/>
      <c r="EB96" s="285"/>
      <c r="EC96" s="285"/>
      <c r="ED96" s="285"/>
      <c r="EE96" s="285"/>
      <c r="EF96" s="285"/>
      <c r="EG96" s="285"/>
      <c r="EH96" s="285"/>
      <c r="EI96" s="285"/>
      <c r="EJ96" s="285"/>
      <c r="EK96" s="285"/>
      <c r="EL96" s="285"/>
      <c r="EM96" s="285"/>
      <c r="EN96" s="285"/>
      <c r="EO96" s="285"/>
      <c r="EP96" s="285"/>
      <c r="EQ96" s="285"/>
      <c r="ER96" s="285"/>
      <c r="ES96" s="285"/>
      <c r="ET96" s="285"/>
      <c r="EU96" s="285"/>
      <c r="EV96" s="285"/>
      <c r="EW96" s="285"/>
      <c r="EX96" s="285"/>
      <c r="EY96" s="285"/>
      <c r="EZ96" s="285"/>
      <c r="FA96" s="285"/>
      <c r="FB96" s="285"/>
      <c r="FC96" s="285"/>
      <c r="FD96" s="285"/>
      <c r="FE96" s="285"/>
      <c r="FF96" s="285"/>
      <c r="FG96" s="285"/>
      <c r="FH96" s="285"/>
      <c r="FI96" s="285"/>
      <c r="FJ96" s="285"/>
      <c r="FK96" s="285"/>
      <c r="FL96" s="285"/>
      <c r="FM96" s="285"/>
      <c r="FN96" s="285"/>
      <c r="FO96" s="285"/>
      <c r="FP96" s="285"/>
      <c r="FQ96" s="285"/>
      <c r="FR96" s="285"/>
      <c r="FS96" s="285"/>
      <c r="FT96" s="285"/>
      <c r="FU96" s="285"/>
      <c r="FV96" s="285"/>
      <c r="FW96" s="285"/>
      <c r="FX96" s="285"/>
      <c r="FY96" s="285"/>
      <c r="FZ96" s="285"/>
      <c r="GA96" s="285"/>
      <c r="GB96" s="285"/>
      <c r="GC96" s="285"/>
      <c r="GD96" s="285"/>
      <c r="GE96" s="285"/>
      <c r="GF96" s="285"/>
      <c r="GG96" s="285"/>
      <c r="GH96" s="285"/>
      <c r="GI96" s="285"/>
      <c r="GJ96" s="285"/>
      <c r="GK96" s="285"/>
      <c r="GL96" s="285"/>
      <c r="GM96" s="285"/>
      <c r="GN96" s="285"/>
      <c r="GO96" s="285"/>
      <c r="GP96" s="285"/>
      <c r="GQ96" s="285"/>
      <c r="GR96" s="285"/>
      <c r="GS96" s="285"/>
      <c r="GT96" s="285"/>
      <c r="GU96" s="285"/>
      <c r="GV96" s="285"/>
      <c r="GW96" s="285"/>
      <c r="GX96" s="285"/>
      <c r="GY96" s="285"/>
      <c r="GZ96" s="285"/>
      <c r="HA96" s="285"/>
      <c r="HB96" s="285"/>
      <c r="HC96" s="285"/>
      <c r="HD96" s="285"/>
      <c r="HE96" s="285"/>
      <c r="HF96" s="285"/>
      <c r="HG96" s="285"/>
      <c r="HH96" s="285"/>
      <c r="HI96" s="285"/>
      <c r="HJ96" s="285"/>
      <c r="HK96" s="285"/>
      <c r="HL96" s="285"/>
      <c r="HM96" s="285"/>
      <c r="HN96" s="285"/>
      <c r="HO96" s="285"/>
      <c r="HP96" s="285"/>
      <c r="HQ96" s="285"/>
      <c r="HR96" s="285"/>
      <c r="HS96" s="285"/>
      <c r="HT96" s="285"/>
      <c r="HU96" s="285"/>
      <c r="HV96" s="285"/>
      <c r="HW96" s="285"/>
      <c r="HX96" s="285"/>
      <c r="HY96" s="285"/>
      <c r="HZ96" s="285"/>
      <c r="IA96" s="285"/>
      <c r="IB96" s="285"/>
      <c r="IC96" s="285"/>
      <c r="ID96" s="285"/>
      <c r="IE96" s="285"/>
      <c r="IF96" s="285"/>
      <c r="IG96" s="285"/>
      <c r="IH96" s="285"/>
      <c r="II96" s="285"/>
      <c r="IJ96" s="285"/>
      <c r="IK96" s="285"/>
      <c r="IL96" s="285"/>
      <c r="IM96" s="285"/>
      <c r="IN96" s="285"/>
      <c r="IO96" s="285"/>
      <c r="IP96" s="285"/>
      <c r="IQ96" s="285"/>
    </row>
    <row r="97" spans="1:251" ht="9.9499999999999993" customHeight="1">
      <c r="A97" s="364"/>
      <c r="B97" s="365"/>
      <c r="C97" s="394"/>
      <c r="D97" s="394"/>
      <c r="E97" s="395"/>
      <c r="F97" s="368"/>
      <c r="G97" s="356"/>
      <c r="H97" s="356"/>
      <c r="I97" s="356"/>
    </row>
    <row r="98" spans="1:251">
      <c r="A98" s="369" t="s">
        <v>359</v>
      </c>
      <c r="B98" s="370" t="s">
        <v>59</v>
      </c>
      <c r="C98" s="371">
        <f>C100</f>
        <v>5000</v>
      </c>
      <c r="D98" s="371">
        <f>D100</f>
        <v>5000</v>
      </c>
      <c r="E98" s="372">
        <f>E100</f>
        <v>0</v>
      </c>
      <c r="F98" s="368"/>
      <c r="G98" s="371">
        <f>G100</f>
        <v>5000</v>
      </c>
      <c r="H98" s="371">
        <f>H100</f>
        <v>5000</v>
      </c>
      <c r="I98" s="371">
        <f>I100</f>
        <v>0</v>
      </c>
      <c r="J98" s="373"/>
      <c r="K98" s="373"/>
      <c r="L98" s="373"/>
      <c r="M98" s="373"/>
      <c r="N98" s="373"/>
      <c r="O98" s="373"/>
      <c r="P98" s="373"/>
      <c r="Q98" s="373"/>
      <c r="R98" s="373"/>
      <c r="S98" s="373"/>
      <c r="T98" s="373"/>
      <c r="U98" s="373"/>
      <c r="V98" s="373"/>
      <c r="W98" s="373"/>
      <c r="X98" s="373"/>
      <c r="Y98" s="373"/>
      <c r="Z98" s="373"/>
      <c r="AA98" s="373"/>
      <c r="AB98" s="373"/>
      <c r="AC98" s="373"/>
      <c r="AD98" s="373"/>
      <c r="AE98" s="373"/>
      <c r="AF98" s="373"/>
      <c r="AG98" s="373"/>
      <c r="AH98" s="373"/>
      <c r="AI98" s="373"/>
      <c r="AJ98" s="373"/>
      <c r="AK98" s="373"/>
      <c r="AL98" s="373"/>
      <c r="AM98" s="373"/>
      <c r="AN98" s="373"/>
      <c r="AO98" s="373"/>
      <c r="AP98" s="373"/>
      <c r="AQ98" s="373"/>
      <c r="AR98" s="373"/>
      <c r="AS98" s="373"/>
      <c r="AT98" s="373"/>
      <c r="AU98" s="373"/>
      <c r="AV98" s="373"/>
      <c r="AW98" s="373"/>
      <c r="AX98" s="373"/>
      <c r="AY98" s="373"/>
      <c r="AZ98" s="373"/>
      <c r="BA98" s="373"/>
      <c r="BB98" s="373"/>
      <c r="BC98" s="373"/>
      <c r="BD98" s="373"/>
      <c r="BE98" s="373"/>
      <c r="BF98" s="373"/>
      <c r="BG98" s="373"/>
      <c r="BH98" s="373"/>
      <c r="BI98" s="373"/>
      <c r="BJ98" s="373"/>
      <c r="BK98" s="373"/>
      <c r="BL98" s="373"/>
      <c r="BM98" s="373"/>
      <c r="BN98" s="373"/>
      <c r="BO98" s="373"/>
      <c r="BP98" s="373"/>
      <c r="BQ98" s="373"/>
      <c r="BR98" s="373"/>
      <c r="BS98" s="373"/>
      <c r="BT98" s="373"/>
      <c r="BU98" s="373"/>
      <c r="BV98" s="373"/>
      <c r="BW98" s="373"/>
      <c r="BX98" s="373"/>
      <c r="BY98" s="373"/>
      <c r="BZ98" s="373"/>
      <c r="CA98" s="373"/>
      <c r="CB98" s="373"/>
      <c r="CC98" s="373"/>
      <c r="CD98" s="373"/>
      <c r="CE98" s="373"/>
      <c r="CF98" s="373"/>
      <c r="CG98" s="373"/>
      <c r="CH98" s="373"/>
      <c r="CI98" s="373"/>
      <c r="CJ98" s="373"/>
      <c r="CK98" s="373"/>
      <c r="CL98" s="373"/>
      <c r="CM98" s="373"/>
      <c r="CN98" s="373"/>
      <c r="CO98" s="373"/>
      <c r="CP98" s="373"/>
      <c r="CQ98" s="373"/>
      <c r="CR98" s="373"/>
      <c r="CS98" s="373"/>
      <c r="CT98" s="373"/>
      <c r="CU98" s="373"/>
      <c r="CV98" s="373"/>
      <c r="CW98" s="373"/>
      <c r="CX98" s="373"/>
      <c r="CY98" s="373"/>
      <c r="CZ98" s="373"/>
      <c r="DA98" s="373"/>
      <c r="DB98" s="373"/>
      <c r="DC98" s="373"/>
      <c r="DD98" s="373"/>
      <c r="DE98" s="373"/>
      <c r="DF98" s="373"/>
      <c r="DG98" s="373"/>
      <c r="DH98" s="373"/>
      <c r="DI98" s="373"/>
      <c r="DJ98" s="373"/>
      <c r="DK98" s="373"/>
      <c r="DL98" s="373"/>
      <c r="DM98" s="373"/>
      <c r="DN98" s="373"/>
      <c r="DO98" s="373"/>
      <c r="DP98" s="373"/>
      <c r="DQ98" s="373"/>
      <c r="DR98" s="373"/>
      <c r="DS98" s="373"/>
      <c r="DT98" s="373"/>
      <c r="DU98" s="373"/>
      <c r="DV98" s="373"/>
      <c r="DW98" s="373"/>
      <c r="DX98" s="373"/>
      <c r="DY98" s="373"/>
      <c r="DZ98" s="373"/>
      <c r="EA98" s="373"/>
      <c r="EB98" s="373"/>
      <c r="EC98" s="373"/>
      <c r="ED98" s="373"/>
      <c r="EE98" s="373"/>
      <c r="EF98" s="373"/>
      <c r="EG98" s="373"/>
      <c r="EH98" s="373"/>
      <c r="EI98" s="373"/>
      <c r="EJ98" s="373"/>
      <c r="EK98" s="373"/>
      <c r="EL98" s="373"/>
      <c r="EM98" s="373"/>
      <c r="EN98" s="373"/>
      <c r="EO98" s="373"/>
      <c r="EP98" s="373"/>
      <c r="EQ98" s="373"/>
      <c r="ER98" s="373"/>
      <c r="ES98" s="373"/>
      <c r="ET98" s="373"/>
      <c r="EU98" s="373"/>
      <c r="EV98" s="373"/>
      <c r="EW98" s="373"/>
      <c r="EX98" s="373"/>
      <c r="EY98" s="373"/>
      <c r="EZ98" s="373"/>
      <c r="FA98" s="373"/>
      <c r="FB98" s="373"/>
      <c r="FC98" s="373"/>
      <c r="FD98" s="373"/>
      <c r="FE98" s="373"/>
      <c r="FF98" s="373"/>
      <c r="FG98" s="373"/>
      <c r="FH98" s="373"/>
      <c r="FI98" s="373"/>
      <c r="FJ98" s="373"/>
      <c r="FK98" s="373"/>
      <c r="FL98" s="373"/>
      <c r="FM98" s="373"/>
      <c r="FN98" s="373"/>
      <c r="FO98" s="373"/>
      <c r="FP98" s="373"/>
      <c r="FQ98" s="373"/>
      <c r="FR98" s="373"/>
      <c r="FS98" s="373"/>
      <c r="FT98" s="373"/>
      <c r="FU98" s="373"/>
      <c r="FV98" s="373"/>
      <c r="FW98" s="373"/>
      <c r="FX98" s="373"/>
      <c r="FY98" s="373"/>
      <c r="FZ98" s="373"/>
      <c r="GA98" s="373"/>
      <c r="GB98" s="373"/>
      <c r="GC98" s="373"/>
      <c r="GD98" s="373"/>
      <c r="GE98" s="373"/>
      <c r="GF98" s="373"/>
      <c r="GG98" s="373"/>
      <c r="GH98" s="373"/>
      <c r="GI98" s="373"/>
      <c r="GJ98" s="373"/>
      <c r="GK98" s="373"/>
      <c r="GL98" s="373"/>
      <c r="GM98" s="373"/>
      <c r="GN98" s="373"/>
      <c r="GO98" s="373"/>
      <c r="GP98" s="373"/>
      <c r="GQ98" s="373"/>
      <c r="GR98" s="373"/>
      <c r="GS98" s="373"/>
      <c r="GT98" s="373"/>
      <c r="GU98" s="373"/>
      <c r="GV98" s="373"/>
      <c r="GW98" s="373"/>
      <c r="GX98" s="373"/>
      <c r="GY98" s="373"/>
      <c r="GZ98" s="373"/>
      <c r="HA98" s="373"/>
      <c r="HB98" s="373"/>
      <c r="HC98" s="373"/>
      <c r="HD98" s="373"/>
      <c r="HE98" s="373"/>
      <c r="HF98" s="373"/>
      <c r="HG98" s="373"/>
      <c r="HH98" s="373"/>
      <c r="HI98" s="373"/>
      <c r="HJ98" s="373"/>
      <c r="HK98" s="373"/>
      <c r="HL98" s="373"/>
      <c r="HM98" s="373"/>
      <c r="HN98" s="373"/>
      <c r="HO98" s="373"/>
      <c r="HP98" s="373"/>
      <c r="HQ98" s="373"/>
      <c r="HR98" s="373"/>
      <c r="HS98" s="373"/>
      <c r="HT98" s="373"/>
      <c r="HU98" s="373"/>
      <c r="HV98" s="373"/>
      <c r="HW98" s="373"/>
      <c r="HX98" s="373"/>
      <c r="HY98" s="373"/>
      <c r="HZ98" s="373"/>
      <c r="IA98" s="373"/>
      <c r="IB98" s="373"/>
      <c r="IC98" s="373"/>
      <c r="ID98" s="373"/>
      <c r="IE98" s="373"/>
      <c r="IF98" s="373"/>
      <c r="IG98" s="373"/>
      <c r="IH98" s="373"/>
      <c r="II98" s="373"/>
      <c r="IJ98" s="373"/>
      <c r="IK98" s="373"/>
      <c r="IL98" s="373"/>
      <c r="IM98" s="373"/>
      <c r="IN98" s="373"/>
      <c r="IO98" s="373"/>
      <c r="IP98" s="373"/>
      <c r="IQ98" s="373"/>
    </row>
    <row r="99" spans="1:251" s="377" customFormat="1" ht="9.9499999999999993" customHeight="1">
      <c r="A99" s="374"/>
      <c r="B99" s="375"/>
      <c r="C99" s="396"/>
      <c r="D99" s="396"/>
      <c r="E99" s="397"/>
      <c r="F99" s="368"/>
      <c r="G99" s="356"/>
      <c r="H99" s="356"/>
      <c r="I99" s="356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  <c r="BI99" s="263"/>
      <c r="BJ99" s="263"/>
      <c r="BK99" s="263"/>
      <c r="BL99" s="263"/>
      <c r="BM99" s="263"/>
      <c r="BN99" s="263"/>
      <c r="BO99" s="263"/>
      <c r="BP99" s="263"/>
      <c r="BQ99" s="263"/>
      <c r="BR99" s="263"/>
      <c r="BS99" s="263"/>
      <c r="BT99" s="263"/>
      <c r="BU99" s="263"/>
      <c r="BV99" s="263"/>
      <c r="BW99" s="263"/>
      <c r="BX99" s="263"/>
      <c r="BY99" s="263"/>
      <c r="BZ99" s="263"/>
      <c r="CA99" s="263"/>
      <c r="CB99" s="263"/>
      <c r="CC99" s="263"/>
      <c r="CD99" s="263"/>
      <c r="CE99" s="263"/>
      <c r="CF99" s="263"/>
      <c r="CG99" s="263"/>
      <c r="CH99" s="263"/>
      <c r="CI99" s="263"/>
      <c r="CJ99" s="263"/>
      <c r="CK99" s="263"/>
      <c r="CL99" s="263"/>
      <c r="CM99" s="263"/>
      <c r="CN99" s="263"/>
      <c r="CO99" s="263"/>
      <c r="CP99" s="263"/>
      <c r="CQ99" s="263"/>
      <c r="CR99" s="263"/>
      <c r="CS99" s="263"/>
      <c r="CT99" s="263"/>
      <c r="CU99" s="263"/>
      <c r="CV99" s="263"/>
      <c r="CW99" s="263"/>
      <c r="CX99" s="263"/>
      <c r="CY99" s="263"/>
      <c r="CZ99" s="263"/>
      <c r="DA99" s="263"/>
      <c r="DB99" s="263"/>
      <c r="DC99" s="263"/>
      <c r="DD99" s="263"/>
      <c r="DE99" s="263"/>
      <c r="DF99" s="263"/>
      <c r="DG99" s="263"/>
      <c r="DH99" s="263"/>
      <c r="DI99" s="263"/>
      <c r="DJ99" s="263"/>
      <c r="DK99" s="263"/>
      <c r="DL99" s="263"/>
      <c r="DM99" s="263"/>
      <c r="DN99" s="263"/>
      <c r="DO99" s="263"/>
      <c r="DP99" s="263"/>
      <c r="DQ99" s="263"/>
      <c r="DR99" s="263"/>
      <c r="DS99" s="263"/>
      <c r="DT99" s="263"/>
      <c r="DU99" s="263"/>
      <c r="DV99" s="263"/>
      <c r="DW99" s="263"/>
      <c r="DX99" s="263"/>
      <c r="DY99" s="263"/>
      <c r="DZ99" s="263"/>
      <c r="EA99" s="263"/>
      <c r="EB99" s="263"/>
      <c r="EC99" s="263"/>
      <c r="ED99" s="263"/>
      <c r="EE99" s="263"/>
      <c r="EF99" s="263"/>
      <c r="EG99" s="263"/>
      <c r="EH99" s="263"/>
      <c r="EI99" s="263"/>
      <c r="EJ99" s="263"/>
      <c r="EK99" s="263"/>
      <c r="EL99" s="263"/>
      <c r="EM99" s="263"/>
      <c r="EN99" s="263"/>
      <c r="EO99" s="263"/>
      <c r="EP99" s="263"/>
      <c r="EQ99" s="263"/>
      <c r="ER99" s="263"/>
      <c r="ES99" s="263"/>
      <c r="ET99" s="263"/>
      <c r="EU99" s="263"/>
      <c r="EV99" s="263"/>
      <c r="EW99" s="263"/>
      <c r="EX99" s="263"/>
      <c r="EY99" s="263"/>
      <c r="EZ99" s="263"/>
      <c r="FA99" s="263"/>
      <c r="FB99" s="263"/>
      <c r="FC99" s="263"/>
      <c r="FD99" s="263"/>
      <c r="FE99" s="263"/>
      <c r="FF99" s="263"/>
      <c r="FG99" s="263"/>
      <c r="FH99" s="263"/>
      <c r="FI99" s="263"/>
      <c r="FJ99" s="263"/>
      <c r="FK99" s="263"/>
      <c r="FL99" s="263"/>
      <c r="FM99" s="263"/>
      <c r="FN99" s="263"/>
      <c r="FO99" s="263"/>
      <c r="FP99" s="263"/>
      <c r="FQ99" s="263"/>
      <c r="FR99" s="263"/>
      <c r="FS99" s="263"/>
      <c r="FT99" s="263"/>
      <c r="FU99" s="263"/>
      <c r="FV99" s="263"/>
      <c r="FW99" s="263"/>
      <c r="FX99" s="263"/>
      <c r="FY99" s="263"/>
      <c r="FZ99" s="263"/>
      <c r="GA99" s="263"/>
      <c r="GB99" s="263"/>
      <c r="GC99" s="263"/>
      <c r="GD99" s="263"/>
      <c r="GE99" s="263"/>
      <c r="GF99" s="263"/>
      <c r="GG99" s="263"/>
      <c r="GH99" s="263"/>
      <c r="GI99" s="263"/>
      <c r="GJ99" s="263"/>
      <c r="GK99" s="263"/>
      <c r="GL99" s="263"/>
      <c r="GM99" s="263"/>
      <c r="GN99" s="263"/>
      <c r="GO99" s="263"/>
      <c r="GP99" s="263"/>
      <c r="GQ99" s="263"/>
      <c r="GR99" s="263"/>
      <c r="GS99" s="263"/>
      <c r="GT99" s="263"/>
      <c r="GU99" s="263"/>
      <c r="GV99" s="263"/>
      <c r="GW99" s="263"/>
      <c r="GX99" s="263"/>
      <c r="GY99" s="263"/>
      <c r="GZ99" s="263"/>
      <c r="HA99" s="263"/>
      <c r="HB99" s="263"/>
      <c r="HC99" s="263"/>
      <c r="HD99" s="263"/>
      <c r="HE99" s="263"/>
      <c r="HF99" s="263"/>
      <c r="HG99" s="263"/>
      <c r="HH99" s="263"/>
      <c r="HI99" s="263"/>
      <c r="HJ99" s="263"/>
      <c r="HK99" s="263"/>
      <c r="HL99" s="263"/>
      <c r="HM99" s="263"/>
      <c r="HN99" s="263"/>
      <c r="HO99" s="263"/>
      <c r="HP99" s="263"/>
      <c r="HQ99" s="263"/>
      <c r="HR99" s="263"/>
      <c r="HS99" s="263"/>
      <c r="HT99" s="263"/>
      <c r="HU99" s="263"/>
      <c r="HV99" s="263"/>
      <c r="HW99" s="263"/>
      <c r="HX99" s="263"/>
      <c r="HY99" s="263"/>
      <c r="HZ99" s="263"/>
      <c r="IA99" s="263"/>
      <c r="IB99" s="263"/>
      <c r="IC99" s="263"/>
      <c r="ID99" s="263"/>
      <c r="IE99" s="263"/>
      <c r="IF99" s="263"/>
      <c r="IG99" s="263"/>
      <c r="IH99" s="263"/>
      <c r="II99" s="263"/>
      <c r="IJ99" s="263"/>
      <c r="IK99" s="263"/>
      <c r="IL99" s="263"/>
      <c r="IM99" s="263"/>
      <c r="IN99" s="263"/>
      <c r="IO99" s="263"/>
      <c r="IP99" s="263"/>
      <c r="IQ99" s="263"/>
    </row>
    <row r="100" spans="1:251" s="373" customFormat="1">
      <c r="A100" s="1099" t="s">
        <v>601</v>
      </c>
      <c r="B100" s="1099"/>
      <c r="C100" s="378">
        <f>C102</f>
        <v>5000</v>
      </c>
      <c r="D100" s="378">
        <f>D102</f>
        <v>5000</v>
      </c>
      <c r="E100" s="379">
        <f>E102</f>
        <v>0</v>
      </c>
      <c r="F100" s="368"/>
      <c r="G100" s="378">
        <f>G104</f>
        <v>5000</v>
      </c>
      <c r="H100" s="378">
        <f>H104</f>
        <v>5000</v>
      </c>
      <c r="I100" s="378">
        <f>I104</f>
        <v>0</v>
      </c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7"/>
      <c r="AM100" s="377"/>
      <c r="AN100" s="377"/>
      <c r="AO100" s="377"/>
      <c r="AP100" s="377"/>
      <c r="AQ100" s="377"/>
      <c r="AR100" s="377"/>
      <c r="AS100" s="377"/>
      <c r="AT100" s="377"/>
      <c r="AU100" s="377"/>
      <c r="AV100" s="377"/>
      <c r="AW100" s="377"/>
      <c r="AX100" s="377"/>
      <c r="AY100" s="377"/>
      <c r="AZ100" s="377"/>
      <c r="BA100" s="377"/>
      <c r="BB100" s="377"/>
      <c r="BC100" s="377"/>
      <c r="BD100" s="377"/>
      <c r="BE100" s="377"/>
      <c r="BF100" s="377"/>
      <c r="BG100" s="377"/>
      <c r="BH100" s="377"/>
      <c r="BI100" s="377"/>
      <c r="BJ100" s="377"/>
      <c r="BK100" s="377"/>
      <c r="BL100" s="377"/>
      <c r="BM100" s="377"/>
      <c r="BN100" s="377"/>
      <c r="BO100" s="377"/>
      <c r="BP100" s="377"/>
      <c r="BQ100" s="377"/>
      <c r="BR100" s="377"/>
      <c r="BS100" s="377"/>
      <c r="BT100" s="377"/>
      <c r="BU100" s="377"/>
      <c r="BV100" s="377"/>
      <c r="BW100" s="377"/>
      <c r="BX100" s="377"/>
      <c r="BY100" s="377"/>
      <c r="BZ100" s="377"/>
      <c r="CA100" s="377"/>
      <c r="CB100" s="377"/>
      <c r="CC100" s="377"/>
      <c r="CD100" s="377"/>
      <c r="CE100" s="377"/>
      <c r="CF100" s="377"/>
      <c r="CG100" s="377"/>
      <c r="CH100" s="377"/>
      <c r="CI100" s="377"/>
      <c r="CJ100" s="377"/>
      <c r="CK100" s="377"/>
      <c r="CL100" s="377"/>
      <c r="CM100" s="377"/>
      <c r="CN100" s="377"/>
      <c r="CO100" s="377"/>
      <c r="CP100" s="377"/>
      <c r="CQ100" s="377"/>
      <c r="CR100" s="377"/>
      <c r="CS100" s="377"/>
      <c r="CT100" s="377"/>
      <c r="CU100" s="377"/>
      <c r="CV100" s="377"/>
      <c r="CW100" s="377"/>
      <c r="CX100" s="377"/>
      <c r="CY100" s="377"/>
      <c r="CZ100" s="377"/>
      <c r="DA100" s="377"/>
      <c r="DB100" s="377"/>
      <c r="DC100" s="377"/>
      <c r="DD100" s="377"/>
      <c r="DE100" s="377"/>
      <c r="DF100" s="377"/>
      <c r="DG100" s="377"/>
      <c r="DH100" s="377"/>
      <c r="DI100" s="377"/>
      <c r="DJ100" s="377"/>
      <c r="DK100" s="377"/>
      <c r="DL100" s="377"/>
      <c r="DM100" s="377"/>
      <c r="DN100" s="377"/>
      <c r="DO100" s="377"/>
      <c r="DP100" s="377"/>
      <c r="DQ100" s="377"/>
      <c r="DR100" s="377"/>
      <c r="DS100" s="377"/>
      <c r="DT100" s="377"/>
      <c r="DU100" s="377"/>
      <c r="DV100" s="377"/>
      <c r="DW100" s="377"/>
      <c r="DX100" s="377"/>
      <c r="DY100" s="377"/>
      <c r="DZ100" s="377"/>
      <c r="EA100" s="377"/>
      <c r="EB100" s="377"/>
      <c r="EC100" s="377"/>
      <c r="ED100" s="377"/>
      <c r="EE100" s="377"/>
      <c r="EF100" s="377"/>
      <c r="EG100" s="377"/>
      <c r="EH100" s="377"/>
      <c r="EI100" s="377"/>
      <c r="EJ100" s="377"/>
      <c r="EK100" s="377"/>
      <c r="EL100" s="377"/>
      <c r="EM100" s="377"/>
      <c r="EN100" s="377"/>
      <c r="EO100" s="377"/>
      <c r="EP100" s="377"/>
      <c r="EQ100" s="377"/>
      <c r="ER100" s="377"/>
      <c r="ES100" s="377"/>
      <c r="ET100" s="377"/>
      <c r="EU100" s="377"/>
      <c r="EV100" s="377"/>
      <c r="EW100" s="377"/>
      <c r="EX100" s="377"/>
      <c r="EY100" s="377"/>
      <c r="EZ100" s="377"/>
      <c r="FA100" s="377"/>
      <c r="FB100" s="377"/>
      <c r="FC100" s="377"/>
      <c r="FD100" s="377"/>
      <c r="FE100" s="377"/>
      <c r="FF100" s="377"/>
      <c r="FG100" s="377"/>
      <c r="FH100" s="377"/>
      <c r="FI100" s="377"/>
      <c r="FJ100" s="377"/>
      <c r="FK100" s="377"/>
      <c r="FL100" s="377"/>
      <c r="FM100" s="377"/>
      <c r="FN100" s="377"/>
      <c r="FO100" s="377"/>
      <c r="FP100" s="377"/>
      <c r="FQ100" s="377"/>
      <c r="FR100" s="377"/>
      <c r="FS100" s="377"/>
      <c r="FT100" s="377"/>
      <c r="FU100" s="377"/>
      <c r="FV100" s="377"/>
      <c r="FW100" s="377"/>
      <c r="FX100" s="377"/>
      <c r="FY100" s="377"/>
      <c r="FZ100" s="377"/>
      <c r="GA100" s="377"/>
      <c r="GB100" s="377"/>
      <c r="GC100" s="377"/>
      <c r="GD100" s="377"/>
      <c r="GE100" s="377"/>
      <c r="GF100" s="377"/>
      <c r="GG100" s="377"/>
      <c r="GH100" s="377"/>
      <c r="GI100" s="377"/>
      <c r="GJ100" s="377"/>
      <c r="GK100" s="377"/>
      <c r="GL100" s="377"/>
      <c r="GM100" s="377"/>
      <c r="GN100" s="377"/>
      <c r="GO100" s="377"/>
      <c r="GP100" s="377"/>
      <c r="GQ100" s="377"/>
      <c r="GR100" s="377"/>
      <c r="GS100" s="377"/>
      <c r="GT100" s="377"/>
      <c r="GU100" s="377"/>
      <c r="GV100" s="377"/>
      <c r="GW100" s="377"/>
      <c r="GX100" s="377"/>
      <c r="GY100" s="377"/>
      <c r="GZ100" s="377"/>
      <c r="HA100" s="377"/>
      <c r="HB100" s="377"/>
      <c r="HC100" s="377"/>
      <c r="HD100" s="377"/>
      <c r="HE100" s="377"/>
      <c r="HF100" s="377"/>
      <c r="HG100" s="377"/>
      <c r="HH100" s="377"/>
      <c r="HI100" s="377"/>
      <c r="HJ100" s="377"/>
      <c r="HK100" s="377"/>
      <c r="HL100" s="377"/>
      <c r="HM100" s="377"/>
      <c r="HN100" s="377"/>
      <c r="HO100" s="377"/>
      <c r="HP100" s="377"/>
      <c r="HQ100" s="377"/>
      <c r="HR100" s="377"/>
      <c r="HS100" s="377"/>
      <c r="HT100" s="377"/>
      <c r="HU100" s="377"/>
      <c r="HV100" s="377"/>
      <c r="HW100" s="377"/>
      <c r="HX100" s="377"/>
      <c r="HY100" s="377"/>
      <c r="HZ100" s="377"/>
      <c r="IA100" s="377"/>
      <c r="IB100" s="377"/>
      <c r="IC100" s="377"/>
      <c r="ID100" s="377"/>
      <c r="IE100" s="377"/>
      <c r="IF100" s="377"/>
      <c r="IG100" s="377"/>
      <c r="IH100" s="377"/>
      <c r="II100" s="377"/>
      <c r="IJ100" s="377"/>
      <c r="IK100" s="377"/>
      <c r="IL100" s="377"/>
      <c r="IM100" s="377"/>
      <c r="IN100" s="377"/>
      <c r="IO100" s="377"/>
      <c r="IP100" s="377"/>
      <c r="IQ100" s="377"/>
    </row>
    <row r="101" spans="1:251" s="277" customFormat="1" ht="9.9499999999999993" customHeight="1">
      <c r="A101" s="369"/>
      <c r="B101" s="398"/>
      <c r="C101" s="371"/>
      <c r="D101" s="371"/>
      <c r="E101" s="372"/>
      <c r="F101" s="368"/>
      <c r="G101" s="399"/>
      <c r="H101" s="399"/>
      <c r="I101" s="399"/>
      <c r="J101" s="373"/>
      <c r="K101" s="373"/>
      <c r="L101" s="373"/>
      <c r="M101" s="373"/>
      <c r="N101" s="373"/>
      <c r="O101" s="373"/>
      <c r="P101" s="373"/>
      <c r="Q101" s="373"/>
      <c r="R101" s="373"/>
      <c r="S101" s="373"/>
      <c r="T101" s="373"/>
      <c r="U101" s="373"/>
      <c r="V101" s="373"/>
      <c r="W101" s="373"/>
      <c r="X101" s="373"/>
      <c r="Y101" s="373"/>
      <c r="Z101" s="373"/>
      <c r="AA101" s="373"/>
      <c r="AB101" s="373"/>
      <c r="AC101" s="373"/>
      <c r="AD101" s="373"/>
      <c r="AE101" s="373"/>
      <c r="AF101" s="373"/>
      <c r="AG101" s="373"/>
      <c r="AH101" s="373"/>
      <c r="AI101" s="373"/>
      <c r="AJ101" s="373"/>
      <c r="AK101" s="373"/>
      <c r="AL101" s="373"/>
      <c r="AM101" s="373"/>
      <c r="AN101" s="373"/>
      <c r="AO101" s="373"/>
      <c r="AP101" s="373"/>
      <c r="AQ101" s="373"/>
      <c r="AR101" s="373"/>
      <c r="AS101" s="373"/>
      <c r="AT101" s="373"/>
      <c r="AU101" s="373"/>
      <c r="AV101" s="373"/>
      <c r="AW101" s="373"/>
      <c r="AX101" s="373"/>
      <c r="AY101" s="373"/>
      <c r="AZ101" s="373"/>
      <c r="BA101" s="373"/>
      <c r="BB101" s="373"/>
      <c r="BC101" s="373"/>
      <c r="BD101" s="373"/>
      <c r="BE101" s="373"/>
      <c r="BF101" s="373"/>
      <c r="BG101" s="373"/>
      <c r="BH101" s="373"/>
      <c r="BI101" s="373"/>
      <c r="BJ101" s="373"/>
      <c r="BK101" s="373"/>
      <c r="BL101" s="373"/>
      <c r="BM101" s="373"/>
      <c r="BN101" s="373"/>
      <c r="BO101" s="373"/>
      <c r="BP101" s="373"/>
      <c r="BQ101" s="373"/>
      <c r="BR101" s="373"/>
      <c r="BS101" s="373"/>
      <c r="BT101" s="373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  <c r="CE101" s="373"/>
      <c r="CF101" s="373"/>
      <c r="CG101" s="373"/>
      <c r="CH101" s="373"/>
      <c r="CI101" s="373"/>
      <c r="CJ101" s="373"/>
      <c r="CK101" s="373"/>
      <c r="CL101" s="373"/>
      <c r="CM101" s="373"/>
      <c r="CN101" s="373"/>
      <c r="CO101" s="373"/>
      <c r="CP101" s="373"/>
      <c r="CQ101" s="373"/>
      <c r="CR101" s="373"/>
      <c r="CS101" s="373"/>
      <c r="CT101" s="373"/>
      <c r="CU101" s="373"/>
      <c r="CV101" s="373"/>
      <c r="CW101" s="373"/>
      <c r="CX101" s="373"/>
      <c r="CY101" s="373"/>
      <c r="CZ101" s="373"/>
      <c r="DA101" s="373"/>
      <c r="DB101" s="373"/>
      <c r="DC101" s="373"/>
      <c r="DD101" s="373"/>
      <c r="DE101" s="373"/>
      <c r="DF101" s="373"/>
      <c r="DG101" s="373"/>
      <c r="DH101" s="373"/>
      <c r="DI101" s="373"/>
      <c r="DJ101" s="373"/>
      <c r="DK101" s="373"/>
      <c r="DL101" s="373"/>
      <c r="DM101" s="373"/>
      <c r="DN101" s="373"/>
      <c r="DO101" s="373"/>
      <c r="DP101" s="373"/>
      <c r="DQ101" s="373"/>
      <c r="DR101" s="373"/>
      <c r="DS101" s="373"/>
      <c r="DT101" s="373"/>
      <c r="DU101" s="373"/>
      <c r="DV101" s="373"/>
      <c r="DW101" s="373"/>
      <c r="DX101" s="373"/>
      <c r="DY101" s="373"/>
      <c r="DZ101" s="373"/>
      <c r="EA101" s="373"/>
      <c r="EB101" s="373"/>
      <c r="EC101" s="373"/>
      <c r="ED101" s="373"/>
      <c r="EE101" s="373"/>
      <c r="EF101" s="373"/>
      <c r="EG101" s="373"/>
      <c r="EH101" s="373"/>
      <c r="EI101" s="373"/>
      <c r="EJ101" s="373"/>
      <c r="EK101" s="373"/>
      <c r="EL101" s="373"/>
      <c r="EM101" s="373"/>
      <c r="EN101" s="373"/>
      <c r="EO101" s="373"/>
      <c r="EP101" s="373"/>
      <c r="EQ101" s="373"/>
      <c r="ER101" s="373"/>
      <c r="ES101" s="373"/>
      <c r="ET101" s="373"/>
      <c r="EU101" s="373"/>
      <c r="EV101" s="373"/>
      <c r="EW101" s="373"/>
      <c r="EX101" s="373"/>
      <c r="EY101" s="373"/>
      <c r="EZ101" s="373"/>
      <c r="FA101" s="373"/>
      <c r="FB101" s="373"/>
      <c r="FC101" s="373"/>
      <c r="FD101" s="373"/>
      <c r="FE101" s="373"/>
      <c r="FF101" s="373"/>
      <c r="FG101" s="373"/>
      <c r="FH101" s="373"/>
      <c r="FI101" s="373"/>
      <c r="FJ101" s="373"/>
      <c r="FK101" s="373"/>
      <c r="FL101" s="373"/>
      <c r="FM101" s="373"/>
      <c r="FN101" s="373"/>
      <c r="FO101" s="373"/>
      <c r="FP101" s="373"/>
      <c r="FQ101" s="373"/>
      <c r="FR101" s="373"/>
      <c r="FS101" s="373"/>
      <c r="FT101" s="373"/>
      <c r="FU101" s="373"/>
      <c r="FV101" s="373"/>
      <c r="FW101" s="373"/>
      <c r="FX101" s="373"/>
      <c r="FY101" s="373"/>
      <c r="FZ101" s="373"/>
      <c r="GA101" s="373"/>
      <c r="GB101" s="373"/>
      <c r="GC101" s="373"/>
      <c r="GD101" s="373"/>
      <c r="GE101" s="373"/>
      <c r="GF101" s="373"/>
      <c r="GG101" s="373"/>
      <c r="GH101" s="373"/>
      <c r="GI101" s="373"/>
      <c r="GJ101" s="373"/>
      <c r="GK101" s="373"/>
      <c r="GL101" s="373"/>
      <c r="GM101" s="373"/>
      <c r="GN101" s="373"/>
      <c r="GO101" s="373"/>
      <c r="GP101" s="373"/>
      <c r="GQ101" s="373"/>
      <c r="GR101" s="373"/>
      <c r="GS101" s="373"/>
      <c r="GT101" s="373"/>
      <c r="GU101" s="373"/>
      <c r="GV101" s="373"/>
      <c r="GW101" s="373"/>
      <c r="GX101" s="373"/>
      <c r="GY101" s="373"/>
      <c r="GZ101" s="373"/>
      <c r="HA101" s="373"/>
      <c r="HB101" s="373"/>
      <c r="HC101" s="373"/>
      <c r="HD101" s="373"/>
      <c r="HE101" s="373"/>
      <c r="HF101" s="373"/>
      <c r="HG101" s="373"/>
      <c r="HH101" s="373"/>
      <c r="HI101" s="373"/>
      <c r="HJ101" s="373"/>
      <c r="HK101" s="373"/>
      <c r="HL101" s="373"/>
      <c r="HM101" s="373"/>
      <c r="HN101" s="373"/>
      <c r="HO101" s="373"/>
      <c r="HP101" s="373"/>
      <c r="HQ101" s="373"/>
      <c r="HR101" s="373"/>
      <c r="HS101" s="373"/>
      <c r="HT101" s="373"/>
      <c r="HU101" s="373"/>
      <c r="HV101" s="373"/>
      <c r="HW101" s="373"/>
      <c r="HX101" s="373"/>
      <c r="HY101" s="373"/>
      <c r="HZ101" s="373"/>
      <c r="IA101" s="373"/>
      <c r="IB101" s="373"/>
      <c r="IC101" s="373"/>
      <c r="ID101" s="373"/>
      <c r="IE101" s="373"/>
      <c r="IF101" s="373"/>
      <c r="IG101" s="373"/>
      <c r="IH101" s="373"/>
      <c r="II101" s="373"/>
      <c r="IJ101" s="373"/>
      <c r="IK101" s="373"/>
      <c r="IL101" s="373"/>
      <c r="IM101" s="373"/>
      <c r="IN101" s="373"/>
      <c r="IO101" s="373"/>
      <c r="IP101" s="373"/>
      <c r="IQ101" s="373"/>
    </row>
    <row r="102" spans="1:251">
      <c r="A102" s="384"/>
      <c r="B102" s="385" t="s">
        <v>591</v>
      </c>
      <c r="C102" s="356">
        <f>D102+E102</f>
        <v>5000</v>
      </c>
      <c r="D102" s="356">
        <v>5000</v>
      </c>
      <c r="E102" s="376">
        <v>0</v>
      </c>
      <c r="F102" s="368"/>
      <c r="G102" s="386" t="s">
        <v>421</v>
      </c>
      <c r="H102" s="386" t="s">
        <v>421</v>
      </c>
      <c r="I102" s="386" t="s">
        <v>421</v>
      </c>
    </row>
    <row r="103" spans="1:251" ht="9.9499999999999993" customHeight="1">
      <c r="A103" s="352"/>
      <c r="B103" s="390"/>
      <c r="C103" s="354"/>
      <c r="D103" s="354"/>
      <c r="E103" s="355"/>
      <c r="F103" s="368"/>
      <c r="G103" s="356"/>
      <c r="H103" s="356"/>
      <c r="I103" s="356"/>
    </row>
    <row r="104" spans="1:251">
      <c r="A104" s="352"/>
      <c r="B104" s="391" t="s">
        <v>592</v>
      </c>
      <c r="C104" s="392" t="s">
        <v>421</v>
      </c>
      <c r="D104" s="392" t="s">
        <v>421</v>
      </c>
      <c r="E104" s="393" t="s">
        <v>421</v>
      </c>
      <c r="F104" s="368"/>
      <c r="G104" s="356">
        <f>H104+I104</f>
        <v>5000</v>
      </c>
      <c r="H104" s="356">
        <v>5000</v>
      </c>
      <c r="I104" s="356">
        <v>0</v>
      </c>
    </row>
    <row r="105" spans="1:251" ht="9.9499999999999993" customHeight="1">
      <c r="A105" s="352"/>
      <c r="B105" s="390"/>
      <c r="C105" s="403"/>
      <c r="D105" s="403"/>
      <c r="E105" s="404"/>
      <c r="F105" s="368"/>
      <c r="G105" s="356"/>
      <c r="H105" s="356"/>
      <c r="I105" s="356"/>
    </row>
    <row r="106" spans="1:251" ht="15">
      <c r="A106" s="280" t="s">
        <v>35</v>
      </c>
      <c r="B106" s="362" t="s">
        <v>36</v>
      </c>
      <c r="C106" s="283">
        <f>C116+C108</f>
        <v>24611000</v>
      </c>
      <c r="D106" s="283">
        <f>D116+D108</f>
        <v>24611000</v>
      </c>
      <c r="E106" s="363">
        <f>E116+E108</f>
        <v>0</v>
      </c>
      <c r="F106" s="360"/>
      <c r="G106" s="283">
        <f>G116+G108</f>
        <v>24611000</v>
      </c>
      <c r="H106" s="283">
        <f>H116+H108</f>
        <v>24611000</v>
      </c>
      <c r="I106" s="283">
        <f>I116+I108</f>
        <v>0</v>
      </c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5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85"/>
      <c r="BU106" s="285"/>
      <c r="BV106" s="285"/>
      <c r="BW106" s="285"/>
      <c r="BX106" s="285"/>
      <c r="BY106" s="285"/>
      <c r="BZ106" s="285"/>
      <c r="CA106" s="285"/>
      <c r="CB106" s="285"/>
      <c r="CC106" s="285"/>
      <c r="CD106" s="285"/>
      <c r="CE106" s="285"/>
      <c r="CF106" s="285"/>
      <c r="CG106" s="285"/>
      <c r="CH106" s="285"/>
      <c r="CI106" s="285"/>
      <c r="CJ106" s="285"/>
      <c r="CK106" s="285"/>
      <c r="CL106" s="285"/>
      <c r="CM106" s="285"/>
      <c r="CN106" s="285"/>
      <c r="CO106" s="285"/>
      <c r="CP106" s="285"/>
      <c r="CQ106" s="285"/>
      <c r="CR106" s="285"/>
      <c r="CS106" s="285"/>
      <c r="CT106" s="285"/>
      <c r="CU106" s="285"/>
      <c r="CV106" s="285"/>
      <c r="CW106" s="285"/>
      <c r="CX106" s="285"/>
      <c r="CY106" s="285"/>
      <c r="CZ106" s="285"/>
      <c r="DA106" s="285"/>
      <c r="DB106" s="285"/>
      <c r="DC106" s="285"/>
      <c r="DD106" s="285"/>
      <c r="DE106" s="285"/>
      <c r="DF106" s="285"/>
      <c r="DG106" s="285"/>
      <c r="DH106" s="285"/>
      <c r="DI106" s="285"/>
      <c r="DJ106" s="285"/>
      <c r="DK106" s="285"/>
      <c r="DL106" s="285"/>
      <c r="DM106" s="285"/>
      <c r="DN106" s="285"/>
      <c r="DO106" s="285"/>
      <c r="DP106" s="285"/>
      <c r="DQ106" s="285"/>
      <c r="DR106" s="285"/>
      <c r="DS106" s="285"/>
      <c r="DT106" s="285"/>
      <c r="DU106" s="285"/>
      <c r="DV106" s="285"/>
      <c r="DW106" s="285"/>
      <c r="DX106" s="285"/>
      <c r="DY106" s="285"/>
      <c r="DZ106" s="285"/>
      <c r="EA106" s="285"/>
      <c r="EB106" s="285"/>
      <c r="EC106" s="285"/>
      <c r="ED106" s="285"/>
      <c r="EE106" s="285"/>
      <c r="EF106" s="285"/>
      <c r="EG106" s="285"/>
      <c r="EH106" s="285"/>
      <c r="EI106" s="285"/>
      <c r="EJ106" s="285"/>
      <c r="EK106" s="285"/>
      <c r="EL106" s="285"/>
      <c r="EM106" s="285"/>
      <c r="EN106" s="285"/>
      <c r="EO106" s="285"/>
      <c r="EP106" s="285"/>
      <c r="EQ106" s="285"/>
      <c r="ER106" s="285"/>
      <c r="ES106" s="285"/>
      <c r="ET106" s="285"/>
      <c r="EU106" s="285"/>
      <c r="EV106" s="285"/>
      <c r="EW106" s="285"/>
      <c r="EX106" s="285"/>
      <c r="EY106" s="285"/>
      <c r="EZ106" s="285"/>
      <c r="FA106" s="285"/>
      <c r="FB106" s="285"/>
      <c r="FC106" s="285"/>
      <c r="FD106" s="285"/>
      <c r="FE106" s="285"/>
      <c r="FF106" s="285"/>
      <c r="FG106" s="285"/>
      <c r="FH106" s="285"/>
      <c r="FI106" s="285"/>
      <c r="FJ106" s="285"/>
      <c r="FK106" s="285"/>
      <c r="FL106" s="285"/>
      <c r="FM106" s="285"/>
      <c r="FN106" s="285"/>
      <c r="FO106" s="285"/>
      <c r="FP106" s="285"/>
      <c r="FQ106" s="285"/>
      <c r="FR106" s="285"/>
      <c r="FS106" s="285"/>
      <c r="FT106" s="285"/>
      <c r="FU106" s="285"/>
      <c r="FV106" s="285"/>
      <c r="FW106" s="285"/>
      <c r="FX106" s="285"/>
      <c r="FY106" s="285"/>
      <c r="FZ106" s="285"/>
      <c r="GA106" s="285"/>
      <c r="GB106" s="285"/>
      <c r="GC106" s="285"/>
      <c r="GD106" s="285"/>
      <c r="GE106" s="285"/>
      <c r="GF106" s="285"/>
      <c r="GG106" s="285"/>
      <c r="GH106" s="285"/>
      <c r="GI106" s="285"/>
      <c r="GJ106" s="285"/>
      <c r="GK106" s="285"/>
      <c r="GL106" s="285"/>
      <c r="GM106" s="285"/>
      <c r="GN106" s="285"/>
      <c r="GO106" s="285"/>
      <c r="GP106" s="285"/>
      <c r="GQ106" s="285"/>
      <c r="GR106" s="285"/>
      <c r="GS106" s="285"/>
      <c r="GT106" s="285"/>
      <c r="GU106" s="285"/>
      <c r="GV106" s="285"/>
      <c r="GW106" s="285"/>
      <c r="GX106" s="285"/>
      <c r="GY106" s="285"/>
      <c r="GZ106" s="285"/>
      <c r="HA106" s="285"/>
      <c r="HB106" s="285"/>
      <c r="HC106" s="285"/>
      <c r="HD106" s="285"/>
      <c r="HE106" s="285"/>
      <c r="HF106" s="285"/>
      <c r="HG106" s="285"/>
      <c r="HH106" s="285"/>
      <c r="HI106" s="285"/>
      <c r="HJ106" s="285"/>
      <c r="HK106" s="285"/>
      <c r="HL106" s="285"/>
      <c r="HM106" s="285"/>
      <c r="HN106" s="285"/>
      <c r="HO106" s="285"/>
      <c r="HP106" s="285"/>
      <c r="HQ106" s="285"/>
      <c r="HR106" s="285"/>
      <c r="HS106" s="285"/>
      <c r="HT106" s="285"/>
      <c r="HU106" s="285"/>
      <c r="HV106" s="285"/>
      <c r="HW106" s="285"/>
      <c r="HX106" s="285"/>
      <c r="HY106" s="285"/>
      <c r="HZ106" s="285"/>
      <c r="IA106" s="285"/>
      <c r="IB106" s="285"/>
      <c r="IC106" s="285"/>
      <c r="ID106" s="285"/>
      <c r="IE106" s="285"/>
      <c r="IF106" s="285"/>
      <c r="IG106" s="285"/>
      <c r="IH106" s="285"/>
      <c r="II106" s="285"/>
      <c r="IJ106" s="285"/>
      <c r="IK106" s="285"/>
      <c r="IL106" s="285"/>
      <c r="IM106" s="285"/>
      <c r="IN106" s="285"/>
      <c r="IO106" s="285"/>
      <c r="IP106" s="285"/>
      <c r="IQ106" s="285"/>
    </row>
    <row r="107" spans="1:251" ht="9.9499999999999993" customHeight="1">
      <c r="A107" s="364"/>
      <c r="B107" s="365"/>
      <c r="C107" s="394"/>
      <c r="D107" s="394"/>
      <c r="E107" s="395"/>
      <c r="F107" s="368"/>
      <c r="G107" s="356"/>
      <c r="H107" s="356"/>
      <c r="I107" s="356"/>
    </row>
    <row r="108" spans="1:251">
      <c r="A108" s="369" t="s">
        <v>602</v>
      </c>
      <c r="B108" s="370" t="s">
        <v>255</v>
      </c>
      <c r="C108" s="371">
        <f>C110</f>
        <v>24591000</v>
      </c>
      <c r="D108" s="371">
        <f>D110</f>
        <v>24591000</v>
      </c>
      <c r="E108" s="372">
        <f>E110</f>
        <v>0</v>
      </c>
      <c r="F108" s="368"/>
      <c r="G108" s="371">
        <f>G110</f>
        <v>24591000</v>
      </c>
      <c r="H108" s="371">
        <f>H110</f>
        <v>24591000</v>
      </c>
      <c r="I108" s="371">
        <f>I110</f>
        <v>0</v>
      </c>
      <c r="J108" s="373"/>
      <c r="K108" s="373"/>
      <c r="L108" s="373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373"/>
      <c r="AA108" s="373"/>
      <c r="AB108" s="373"/>
      <c r="AC108" s="373"/>
      <c r="AD108" s="373"/>
      <c r="AE108" s="373"/>
      <c r="AF108" s="373"/>
      <c r="AG108" s="373"/>
      <c r="AH108" s="373"/>
      <c r="AI108" s="373"/>
      <c r="AJ108" s="373"/>
      <c r="AK108" s="373"/>
      <c r="AL108" s="373"/>
      <c r="AM108" s="373"/>
      <c r="AN108" s="373"/>
      <c r="AO108" s="373"/>
      <c r="AP108" s="373"/>
      <c r="AQ108" s="373"/>
      <c r="AR108" s="373"/>
      <c r="AS108" s="373"/>
      <c r="AT108" s="373"/>
      <c r="AU108" s="373"/>
      <c r="AV108" s="373"/>
      <c r="AW108" s="373"/>
      <c r="AX108" s="373"/>
      <c r="AY108" s="373"/>
      <c r="AZ108" s="373"/>
      <c r="BA108" s="373"/>
      <c r="BB108" s="373"/>
      <c r="BC108" s="373"/>
      <c r="BD108" s="373"/>
      <c r="BE108" s="373"/>
      <c r="BF108" s="373"/>
      <c r="BG108" s="373"/>
      <c r="BH108" s="373"/>
      <c r="BI108" s="373"/>
      <c r="BJ108" s="373"/>
      <c r="BK108" s="373"/>
      <c r="BL108" s="373"/>
      <c r="BM108" s="373"/>
      <c r="BN108" s="373"/>
      <c r="BO108" s="373"/>
      <c r="BP108" s="373"/>
      <c r="BQ108" s="373"/>
      <c r="BR108" s="373"/>
      <c r="BS108" s="373"/>
      <c r="BT108" s="373"/>
      <c r="BU108" s="373"/>
      <c r="BV108" s="373"/>
      <c r="BW108" s="373"/>
      <c r="BX108" s="373"/>
      <c r="BY108" s="373"/>
      <c r="BZ108" s="373"/>
      <c r="CA108" s="373"/>
      <c r="CB108" s="373"/>
      <c r="CC108" s="373"/>
      <c r="CD108" s="373"/>
      <c r="CE108" s="373"/>
      <c r="CF108" s="373"/>
      <c r="CG108" s="373"/>
      <c r="CH108" s="373"/>
      <c r="CI108" s="373"/>
      <c r="CJ108" s="373"/>
      <c r="CK108" s="373"/>
      <c r="CL108" s="373"/>
      <c r="CM108" s="373"/>
      <c r="CN108" s="373"/>
      <c r="CO108" s="373"/>
      <c r="CP108" s="373"/>
      <c r="CQ108" s="373"/>
      <c r="CR108" s="373"/>
      <c r="CS108" s="373"/>
      <c r="CT108" s="373"/>
      <c r="CU108" s="373"/>
      <c r="CV108" s="373"/>
      <c r="CW108" s="373"/>
      <c r="CX108" s="373"/>
      <c r="CY108" s="373"/>
      <c r="CZ108" s="373"/>
      <c r="DA108" s="373"/>
      <c r="DB108" s="373"/>
      <c r="DC108" s="373"/>
      <c r="DD108" s="373"/>
      <c r="DE108" s="373"/>
      <c r="DF108" s="373"/>
      <c r="DG108" s="373"/>
      <c r="DH108" s="373"/>
      <c r="DI108" s="373"/>
      <c r="DJ108" s="373"/>
      <c r="DK108" s="373"/>
      <c r="DL108" s="373"/>
      <c r="DM108" s="373"/>
      <c r="DN108" s="373"/>
      <c r="DO108" s="373"/>
      <c r="DP108" s="373"/>
      <c r="DQ108" s="373"/>
      <c r="DR108" s="373"/>
      <c r="DS108" s="373"/>
      <c r="DT108" s="373"/>
      <c r="DU108" s="373"/>
      <c r="DV108" s="373"/>
      <c r="DW108" s="373"/>
      <c r="DX108" s="373"/>
      <c r="DY108" s="373"/>
      <c r="DZ108" s="373"/>
      <c r="EA108" s="373"/>
      <c r="EB108" s="373"/>
      <c r="EC108" s="373"/>
      <c r="ED108" s="373"/>
      <c r="EE108" s="373"/>
      <c r="EF108" s="373"/>
      <c r="EG108" s="373"/>
      <c r="EH108" s="373"/>
      <c r="EI108" s="373"/>
      <c r="EJ108" s="373"/>
      <c r="EK108" s="373"/>
      <c r="EL108" s="373"/>
      <c r="EM108" s="373"/>
      <c r="EN108" s="373"/>
      <c r="EO108" s="373"/>
      <c r="EP108" s="373"/>
      <c r="EQ108" s="373"/>
      <c r="ER108" s="373"/>
      <c r="ES108" s="373"/>
      <c r="ET108" s="373"/>
      <c r="EU108" s="373"/>
      <c r="EV108" s="373"/>
      <c r="EW108" s="373"/>
      <c r="EX108" s="373"/>
      <c r="EY108" s="373"/>
      <c r="EZ108" s="373"/>
      <c r="FA108" s="373"/>
      <c r="FB108" s="373"/>
      <c r="FC108" s="373"/>
      <c r="FD108" s="373"/>
      <c r="FE108" s="373"/>
      <c r="FF108" s="373"/>
      <c r="FG108" s="373"/>
      <c r="FH108" s="373"/>
      <c r="FI108" s="373"/>
      <c r="FJ108" s="373"/>
      <c r="FK108" s="373"/>
      <c r="FL108" s="373"/>
      <c r="FM108" s="373"/>
      <c r="FN108" s="373"/>
      <c r="FO108" s="373"/>
      <c r="FP108" s="373"/>
      <c r="FQ108" s="373"/>
      <c r="FR108" s="373"/>
      <c r="FS108" s="373"/>
      <c r="FT108" s="373"/>
      <c r="FU108" s="373"/>
      <c r="FV108" s="373"/>
      <c r="FW108" s="373"/>
      <c r="FX108" s="373"/>
      <c r="FY108" s="373"/>
      <c r="FZ108" s="373"/>
      <c r="GA108" s="373"/>
      <c r="GB108" s="373"/>
      <c r="GC108" s="373"/>
      <c r="GD108" s="373"/>
      <c r="GE108" s="373"/>
      <c r="GF108" s="373"/>
      <c r="GG108" s="373"/>
      <c r="GH108" s="373"/>
      <c r="GI108" s="373"/>
      <c r="GJ108" s="373"/>
      <c r="GK108" s="373"/>
      <c r="GL108" s="373"/>
      <c r="GM108" s="373"/>
      <c r="GN108" s="373"/>
      <c r="GO108" s="373"/>
      <c r="GP108" s="373"/>
      <c r="GQ108" s="373"/>
      <c r="GR108" s="373"/>
      <c r="GS108" s="373"/>
      <c r="GT108" s="373"/>
      <c r="GU108" s="373"/>
      <c r="GV108" s="373"/>
      <c r="GW108" s="373"/>
      <c r="GX108" s="373"/>
      <c r="GY108" s="373"/>
      <c r="GZ108" s="373"/>
      <c r="HA108" s="373"/>
      <c r="HB108" s="373"/>
      <c r="HC108" s="373"/>
      <c r="HD108" s="373"/>
      <c r="HE108" s="373"/>
      <c r="HF108" s="373"/>
      <c r="HG108" s="373"/>
      <c r="HH108" s="373"/>
      <c r="HI108" s="373"/>
      <c r="HJ108" s="373"/>
      <c r="HK108" s="373"/>
      <c r="HL108" s="373"/>
      <c r="HM108" s="373"/>
      <c r="HN108" s="373"/>
      <c r="HO108" s="373"/>
      <c r="HP108" s="373"/>
      <c r="HQ108" s="373"/>
      <c r="HR108" s="373"/>
      <c r="HS108" s="373"/>
      <c r="HT108" s="373"/>
      <c r="HU108" s="373"/>
      <c r="HV108" s="373"/>
      <c r="HW108" s="373"/>
      <c r="HX108" s="373"/>
      <c r="HY108" s="373"/>
      <c r="HZ108" s="373"/>
      <c r="IA108" s="373"/>
      <c r="IB108" s="373"/>
      <c r="IC108" s="373"/>
      <c r="ID108" s="373"/>
      <c r="IE108" s="373"/>
      <c r="IF108" s="373"/>
      <c r="IG108" s="373"/>
      <c r="IH108" s="373"/>
      <c r="II108" s="373"/>
      <c r="IJ108" s="373"/>
      <c r="IK108" s="373"/>
      <c r="IL108" s="373"/>
      <c r="IM108" s="373"/>
      <c r="IN108" s="373"/>
      <c r="IO108" s="373"/>
      <c r="IP108" s="373"/>
      <c r="IQ108" s="373"/>
    </row>
    <row r="109" spans="1:251" ht="9.9499999999999993" customHeight="1">
      <c r="A109" s="374"/>
      <c r="B109" s="375"/>
      <c r="C109" s="396"/>
      <c r="D109" s="396"/>
      <c r="E109" s="397"/>
      <c r="F109" s="368"/>
      <c r="G109" s="356"/>
      <c r="H109" s="356"/>
      <c r="I109" s="356"/>
    </row>
    <row r="110" spans="1:251" ht="28.15" customHeight="1">
      <c r="A110" s="1099" t="s">
        <v>603</v>
      </c>
      <c r="B110" s="1099"/>
      <c r="C110" s="378">
        <f>C112</f>
        <v>24591000</v>
      </c>
      <c r="D110" s="378">
        <f>D112</f>
        <v>24591000</v>
      </c>
      <c r="E110" s="379">
        <f>E112</f>
        <v>0</v>
      </c>
      <c r="F110" s="368"/>
      <c r="G110" s="378">
        <f>G114</f>
        <v>24591000</v>
      </c>
      <c r="H110" s="378">
        <f>H114</f>
        <v>24591000</v>
      </c>
      <c r="I110" s="378">
        <f>I114</f>
        <v>0</v>
      </c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377"/>
      <c r="AF110" s="377"/>
      <c r="AG110" s="377"/>
      <c r="AH110" s="377"/>
      <c r="AI110" s="377"/>
      <c r="AJ110" s="377"/>
      <c r="AK110" s="377"/>
      <c r="AL110" s="377"/>
      <c r="AM110" s="377"/>
      <c r="AN110" s="377"/>
      <c r="AO110" s="377"/>
      <c r="AP110" s="377"/>
      <c r="AQ110" s="377"/>
      <c r="AR110" s="377"/>
      <c r="AS110" s="377"/>
      <c r="AT110" s="377"/>
      <c r="AU110" s="377"/>
      <c r="AV110" s="377"/>
      <c r="AW110" s="377"/>
      <c r="AX110" s="377"/>
      <c r="AY110" s="377"/>
      <c r="AZ110" s="377"/>
      <c r="BA110" s="377"/>
      <c r="BB110" s="377"/>
      <c r="BC110" s="377"/>
      <c r="BD110" s="377"/>
      <c r="BE110" s="377"/>
      <c r="BF110" s="377"/>
      <c r="BG110" s="377"/>
      <c r="BH110" s="377"/>
      <c r="BI110" s="377"/>
      <c r="BJ110" s="377"/>
      <c r="BK110" s="377"/>
      <c r="BL110" s="377"/>
      <c r="BM110" s="377"/>
      <c r="BN110" s="377"/>
      <c r="BO110" s="377"/>
      <c r="BP110" s="377"/>
      <c r="BQ110" s="377"/>
      <c r="BR110" s="377"/>
      <c r="BS110" s="377"/>
      <c r="BT110" s="377"/>
      <c r="BU110" s="377"/>
      <c r="BV110" s="377"/>
      <c r="BW110" s="377"/>
      <c r="BX110" s="377"/>
      <c r="BY110" s="377"/>
      <c r="BZ110" s="377"/>
      <c r="CA110" s="377"/>
      <c r="CB110" s="377"/>
      <c r="CC110" s="377"/>
      <c r="CD110" s="377"/>
      <c r="CE110" s="377"/>
      <c r="CF110" s="377"/>
      <c r="CG110" s="377"/>
      <c r="CH110" s="377"/>
      <c r="CI110" s="377"/>
      <c r="CJ110" s="377"/>
      <c r="CK110" s="377"/>
      <c r="CL110" s="377"/>
      <c r="CM110" s="377"/>
      <c r="CN110" s="377"/>
      <c r="CO110" s="377"/>
      <c r="CP110" s="377"/>
      <c r="CQ110" s="377"/>
      <c r="CR110" s="377"/>
      <c r="CS110" s="377"/>
      <c r="CT110" s="377"/>
      <c r="CU110" s="377"/>
      <c r="CV110" s="377"/>
      <c r="CW110" s="377"/>
      <c r="CX110" s="377"/>
      <c r="CY110" s="377"/>
      <c r="CZ110" s="377"/>
      <c r="DA110" s="377"/>
      <c r="DB110" s="377"/>
      <c r="DC110" s="377"/>
      <c r="DD110" s="377"/>
      <c r="DE110" s="377"/>
      <c r="DF110" s="377"/>
      <c r="DG110" s="377"/>
      <c r="DH110" s="377"/>
      <c r="DI110" s="377"/>
      <c r="DJ110" s="377"/>
      <c r="DK110" s="377"/>
      <c r="DL110" s="377"/>
      <c r="DM110" s="377"/>
      <c r="DN110" s="377"/>
      <c r="DO110" s="377"/>
      <c r="DP110" s="377"/>
      <c r="DQ110" s="377"/>
      <c r="DR110" s="377"/>
      <c r="DS110" s="377"/>
      <c r="DT110" s="377"/>
      <c r="DU110" s="377"/>
      <c r="DV110" s="377"/>
      <c r="DW110" s="377"/>
      <c r="DX110" s="377"/>
      <c r="DY110" s="377"/>
      <c r="DZ110" s="377"/>
      <c r="EA110" s="377"/>
      <c r="EB110" s="377"/>
      <c r="EC110" s="377"/>
      <c r="ED110" s="377"/>
      <c r="EE110" s="377"/>
      <c r="EF110" s="377"/>
      <c r="EG110" s="377"/>
      <c r="EH110" s="377"/>
      <c r="EI110" s="377"/>
      <c r="EJ110" s="377"/>
      <c r="EK110" s="377"/>
      <c r="EL110" s="377"/>
      <c r="EM110" s="377"/>
      <c r="EN110" s="377"/>
      <c r="EO110" s="377"/>
      <c r="EP110" s="377"/>
      <c r="EQ110" s="377"/>
      <c r="ER110" s="377"/>
      <c r="ES110" s="377"/>
      <c r="ET110" s="377"/>
      <c r="EU110" s="377"/>
      <c r="EV110" s="377"/>
      <c r="EW110" s="377"/>
      <c r="EX110" s="377"/>
      <c r="EY110" s="377"/>
      <c r="EZ110" s="377"/>
      <c r="FA110" s="377"/>
      <c r="FB110" s="377"/>
      <c r="FC110" s="377"/>
      <c r="FD110" s="377"/>
      <c r="FE110" s="377"/>
      <c r="FF110" s="377"/>
      <c r="FG110" s="377"/>
      <c r="FH110" s="377"/>
      <c r="FI110" s="377"/>
      <c r="FJ110" s="377"/>
      <c r="FK110" s="377"/>
      <c r="FL110" s="377"/>
      <c r="FM110" s="377"/>
      <c r="FN110" s="377"/>
      <c r="FO110" s="377"/>
      <c r="FP110" s="377"/>
      <c r="FQ110" s="377"/>
      <c r="FR110" s="377"/>
      <c r="FS110" s="377"/>
      <c r="FT110" s="377"/>
      <c r="FU110" s="377"/>
      <c r="FV110" s="377"/>
      <c r="FW110" s="377"/>
      <c r="FX110" s="377"/>
      <c r="FY110" s="377"/>
      <c r="FZ110" s="377"/>
      <c r="GA110" s="377"/>
      <c r="GB110" s="377"/>
      <c r="GC110" s="377"/>
      <c r="GD110" s="377"/>
      <c r="GE110" s="377"/>
      <c r="GF110" s="377"/>
      <c r="GG110" s="377"/>
      <c r="GH110" s="377"/>
      <c r="GI110" s="377"/>
      <c r="GJ110" s="377"/>
      <c r="GK110" s="377"/>
      <c r="GL110" s="377"/>
      <c r="GM110" s="377"/>
      <c r="GN110" s="377"/>
      <c r="GO110" s="377"/>
      <c r="GP110" s="377"/>
      <c r="GQ110" s="377"/>
      <c r="GR110" s="377"/>
      <c r="GS110" s="377"/>
      <c r="GT110" s="377"/>
      <c r="GU110" s="377"/>
      <c r="GV110" s="377"/>
      <c r="GW110" s="377"/>
      <c r="GX110" s="377"/>
      <c r="GY110" s="377"/>
      <c r="GZ110" s="377"/>
      <c r="HA110" s="377"/>
      <c r="HB110" s="377"/>
      <c r="HC110" s="377"/>
      <c r="HD110" s="377"/>
      <c r="HE110" s="377"/>
      <c r="HF110" s="377"/>
      <c r="HG110" s="377"/>
      <c r="HH110" s="377"/>
      <c r="HI110" s="377"/>
      <c r="HJ110" s="377"/>
      <c r="HK110" s="377"/>
      <c r="HL110" s="377"/>
      <c r="HM110" s="377"/>
      <c r="HN110" s="377"/>
      <c r="HO110" s="377"/>
      <c r="HP110" s="377"/>
      <c r="HQ110" s="377"/>
      <c r="HR110" s="377"/>
      <c r="HS110" s="377"/>
      <c r="HT110" s="377"/>
      <c r="HU110" s="377"/>
      <c r="HV110" s="377"/>
      <c r="HW110" s="377"/>
      <c r="HX110" s="377"/>
      <c r="HY110" s="377"/>
      <c r="HZ110" s="377"/>
      <c r="IA110" s="377"/>
      <c r="IB110" s="377"/>
      <c r="IC110" s="377"/>
      <c r="ID110" s="377"/>
      <c r="IE110" s="377"/>
      <c r="IF110" s="377"/>
      <c r="IG110" s="377"/>
      <c r="IH110" s="377"/>
      <c r="II110" s="377"/>
      <c r="IJ110" s="377"/>
      <c r="IK110" s="377"/>
      <c r="IL110" s="377"/>
      <c r="IM110" s="377"/>
      <c r="IN110" s="377"/>
      <c r="IO110" s="377"/>
      <c r="IP110" s="377"/>
      <c r="IQ110" s="377"/>
    </row>
    <row r="111" spans="1:251" ht="9.9499999999999993" customHeight="1">
      <c r="A111" s="369"/>
      <c r="B111" s="398"/>
      <c r="C111" s="371"/>
      <c r="D111" s="371"/>
      <c r="E111" s="372"/>
      <c r="F111" s="368"/>
      <c r="G111" s="399"/>
      <c r="H111" s="399"/>
      <c r="I111" s="399"/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3"/>
      <c r="AF111" s="373"/>
      <c r="AG111" s="373"/>
      <c r="AH111" s="373"/>
      <c r="AI111" s="373"/>
      <c r="AJ111" s="373"/>
      <c r="AK111" s="373"/>
      <c r="AL111" s="373"/>
      <c r="AM111" s="373"/>
      <c r="AN111" s="373"/>
      <c r="AO111" s="373"/>
      <c r="AP111" s="373"/>
      <c r="AQ111" s="373"/>
      <c r="AR111" s="373"/>
      <c r="AS111" s="373"/>
      <c r="AT111" s="373"/>
      <c r="AU111" s="373"/>
      <c r="AV111" s="373"/>
      <c r="AW111" s="373"/>
      <c r="AX111" s="373"/>
      <c r="AY111" s="373"/>
      <c r="AZ111" s="373"/>
      <c r="BA111" s="373"/>
      <c r="BB111" s="373"/>
      <c r="BC111" s="373"/>
      <c r="BD111" s="373"/>
      <c r="BE111" s="373"/>
      <c r="BF111" s="373"/>
      <c r="BG111" s="373"/>
      <c r="BH111" s="373"/>
      <c r="BI111" s="373"/>
      <c r="BJ111" s="373"/>
      <c r="BK111" s="373"/>
      <c r="BL111" s="373"/>
      <c r="BM111" s="373"/>
      <c r="BN111" s="373"/>
      <c r="BO111" s="373"/>
      <c r="BP111" s="373"/>
      <c r="BQ111" s="373"/>
      <c r="BR111" s="373"/>
      <c r="BS111" s="373"/>
      <c r="BT111" s="373"/>
      <c r="BU111" s="373"/>
      <c r="BV111" s="373"/>
      <c r="BW111" s="373"/>
      <c r="BX111" s="373"/>
      <c r="BY111" s="373"/>
      <c r="BZ111" s="373"/>
      <c r="CA111" s="373"/>
      <c r="CB111" s="373"/>
      <c r="CC111" s="373"/>
      <c r="CD111" s="373"/>
      <c r="CE111" s="373"/>
      <c r="CF111" s="373"/>
      <c r="CG111" s="373"/>
      <c r="CH111" s="373"/>
      <c r="CI111" s="373"/>
      <c r="CJ111" s="373"/>
      <c r="CK111" s="373"/>
      <c r="CL111" s="373"/>
      <c r="CM111" s="373"/>
      <c r="CN111" s="373"/>
      <c r="CO111" s="373"/>
      <c r="CP111" s="373"/>
      <c r="CQ111" s="373"/>
      <c r="CR111" s="373"/>
      <c r="CS111" s="373"/>
      <c r="CT111" s="373"/>
      <c r="CU111" s="373"/>
      <c r="CV111" s="373"/>
      <c r="CW111" s="373"/>
      <c r="CX111" s="373"/>
      <c r="CY111" s="373"/>
      <c r="CZ111" s="373"/>
      <c r="DA111" s="373"/>
      <c r="DB111" s="373"/>
      <c r="DC111" s="373"/>
      <c r="DD111" s="373"/>
      <c r="DE111" s="373"/>
      <c r="DF111" s="373"/>
      <c r="DG111" s="373"/>
      <c r="DH111" s="373"/>
      <c r="DI111" s="373"/>
      <c r="DJ111" s="373"/>
      <c r="DK111" s="373"/>
      <c r="DL111" s="373"/>
      <c r="DM111" s="373"/>
      <c r="DN111" s="373"/>
      <c r="DO111" s="373"/>
      <c r="DP111" s="373"/>
      <c r="DQ111" s="373"/>
      <c r="DR111" s="373"/>
      <c r="DS111" s="373"/>
      <c r="DT111" s="373"/>
      <c r="DU111" s="373"/>
      <c r="DV111" s="373"/>
      <c r="DW111" s="373"/>
      <c r="DX111" s="373"/>
      <c r="DY111" s="373"/>
      <c r="DZ111" s="373"/>
      <c r="EA111" s="373"/>
      <c r="EB111" s="373"/>
      <c r="EC111" s="373"/>
      <c r="ED111" s="373"/>
      <c r="EE111" s="373"/>
      <c r="EF111" s="373"/>
      <c r="EG111" s="373"/>
      <c r="EH111" s="373"/>
      <c r="EI111" s="373"/>
      <c r="EJ111" s="373"/>
      <c r="EK111" s="373"/>
      <c r="EL111" s="373"/>
      <c r="EM111" s="373"/>
      <c r="EN111" s="373"/>
      <c r="EO111" s="373"/>
      <c r="EP111" s="373"/>
      <c r="EQ111" s="373"/>
      <c r="ER111" s="373"/>
      <c r="ES111" s="373"/>
      <c r="ET111" s="373"/>
      <c r="EU111" s="373"/>
      <c r="EV111" s="373"/>
      <c r="EW111" s="373"/>
      <c r="EX111" s="373"/>
      <c r="EY111" s="373"/>
      <c r="EZ111" s="373"/>
      <c r="FA111" s="373"/>
      <c r="FB111" s="373"/>
      <c r="FC111" s="373"/>
      <c r="FD111" s="373"/>
      <c r="FE111" s="373"/>
      <c r="FF111" s="373"/>
      <c r="FG111" s="373"/>
      <c r="FH111" s="373"/>
      <c r="FI111" s="373"/>
      <c r="FJ111" s="373"/>
      <c r="FK111" s="373"/>
      <c r="FL111" s="373"/>
      <c r="FM111" s="373"/>
      <c r="FN111" s="373"/>
      <c r="FO111" s="373"/>
      <c r="FP111" s="373"/>
      <c r="FQ111" s="373"/>
      <c r="FR111" s="373"/>
      <c r="FS111" s="373"/>
      <c r="FT111" s="373"/>
      <c r="FU111" s="373"/>
      <c r="FV111" s="373"/>
      <c r="FW111" s="373"/>
      <c r="FX111" s="373"/>
      <c r="FY111" s="373"/>
      <c r="FZ111" s="373"/>
      <c r="GA111" s="373"/>
      <c r="GB111" s="373"/>
      <c r="GC111" s="373"/>
      <c r="GD111" s="373"/>
      <c r="GE111" s="373"/>
      <c r="GF111" s="373"/>
      <c r="GG111" s="373"/>
      <c r="GH111" s="373"/>
      <c r="GI111" s="373"/>
      <c r="GJ111" s="373"/>
      <c r="GK111" s="373"/>
      <c r="GL111" s="373"/>
      <c r="GM111" s="373"/>
      <c r="GN111" s="373"/>
      <c r="GO111" s="373"/>
      <c r="GP111" s="373"/>
      <c r="GQ111" s="373"/>
      <c r="GR111" s="373"/>
      <c r="GS111" s="373"/>
      <c r="GT111" s="373"/>
      <c r="GU111" s="373"/>
      <c r="GV111" s="373"/>
      <c r="GW111" s="373"/>
      <c r="GX111" s="373"/>
      <c r="GY111" s="373"/>
      <c r="GZ111" s="373"/>
      <c r="HA111" s="373"/>
      <c r="HB111" s="373"/>
      <c r="HC111" s="373"/>
      <c r="HD111" s="373"/>
      <c r="HE111" s="373"/>
      <c r="HF111" s="373"/>
      <c r="HG111" s="373"/>
      <c r="HH111" s="373"/>
      <c r="HI111" s="373"/>
      <c r="HJ111" s="373"/>
      <c r="HK111" s="373"/>
      <c r="HL111" s="373"/>
      <c r="HM111" s="373"/>
      <c r="HN111" s="373"/>
      <c r="HO111" s="373"/>
      <c r="HP111" s="373"/>
      <c r="HQ111" s="373"/>
      <c r="HR111" s="373"/>
      <c r="HS111" s="373"/>
      <c r="HT111" s="373"/>
      <c r="HU111" s="373"/>
      <c r="HV111" s="373"/>
      <c r="HW111" s="373"/>
      <c r="HX111" s="373"/>
      <c r="HY111" s="373"/>
      <c r="HZ111" s="373"/>
      <c r="IA111" s="373"/>
      <c r="IB111" s="373"/>
      <c r="IC111" s="373"/>
      <c r="ID111" s="373"/>
      <c r="IE111" s="373"/>
      <c r="IF111" s="373"/>
      <c r="IG111" s="373"/>
      <c r="IH111" s="373"/>
      <c r="II111" s="373"/>
      <c r="IJ111" s="373"/>
      <c r="IK111" s="373"/>
      <c r="IL111" s="373"/>
      <c r="IM111" s="373"/>
      <c r="IN111" s="373"/>
      <c r="IO111" s="373"/>
      <c r="IP111" s="373"/>
      <c r="IQ111" s="373"/>
    </row>
    <row r="112" spans="1:251">
      <c r="A112" s="384"/>
      <c r="B112" s="385" t="s">
        <v>591</v>
      </c>
      <c r="C112" s="356">
        <f>D112+E112</f>
        <v>24591000</v>
      </c>
      <c r="D112" s="356">
        <v>24591000</v>
      </c>
      <c r="E112" s="376">
        <v>0</v>
      </c>
      <c r="F112" s="368"/>
      <c r="G112" s="414" t="s">
        <v>421</v>
      </c>
      <c r="H112" s="386" t="s">
        <v>421</v>
      </c>
      <c r="I112" s="386" t="s">
        <v>421</v>
      </c>
    </row>
    <row r="113" spans="1:251" ht="9.9499999999999993" customHeight="1">
      <c r="A113" s="409"/>
      <c r="B113" s="410"/>
      <c r="C113" s="366"/>
      <c r="D113" s="366"/>
      <c r="E113" s="367"/>
      <c r="F113" s="368"/>
      <c r="G113" s="356"/>
      <c r="H113" s="356"/>
      <c r="I113" s="356"/>
    </row>
    <row r="114" spans="1:251">
      <c r="A114" s="409"/>
      <c r="B114" s="391" t="s">
        <v>592</v>
      </c>
      <c r="C114" s="411" t="s">
        <v>421</v>
      </c>
      <c r="D114" s="411" t="s">
        <v>421</v>
      </c>
      <c r="E114" s="415" t="s">
        <v>421</v>
      </c>
      <c r="F114" s="368"/>
      <c r="G114" s="356">
        <f>H114+I114</f>
        <v>24591000</v>
      </c>
      <c r="H114" s="356">
        <v>24591000</v>
      </c>
      <c r="I114" s="356">
        <v>0</v>
      </c>
    </row>
    <row r="115" spans="1:251" ht="9.9499999999999993" customHeight="1">
      <c r="A115" s="364"/>
      <c r="B115" s="365"/>
      <c r="C115" s="394"/>
      <c r="D115" s="394"/>
      <c r="E115" s="395"/>
      <c r="F115" s="368"/>
      <c r="G115" s="356"/>
      <c r="H115" s="356"/>
      <c r="I115" s="356"/>
    </row>
    <row r="116" spans="1:251">
      <c r="A116" s="369" t="s">
        <v>604</v>
      </c>
      <c r="B116" s="370" t="s">
        <v>46</v>
      </c>
      <c r="C116" s="371">
        <f>C118</f>
        <v>20000</v>
      </c>
      <c r="D116" s="371">
        <f>D118</f>
        <v>20000</v>
      </c>
      <c r="E116" s="372">
        <f>E118</f>
        <v>0</v>
      </c>
      <c r="F116" s="368"/>
      <c r="G116" s="371">
        <f>G118</f>
        <v>20000</v>
      </c>
      <c r="H116" s="371">
        <f>H118</f>
        <v>20000</v>
      </c>
      <c r="I116" s="371">
        <f>I118</f>
        <v>0</v>
      </c>
      <c r="J116" s="373"/>
      <c r="K116" s="373"/>
      <c r="L116" s="373"/>
      <c r="M116" s="373"/>
      <c r="N116" s="373"/>
      <c r="O116" s="373"/>
      <c r="P116" s="373"/>
      <c r="Q116" s="373"/>
      <c r="R116" s="373"/>
      <c r="S116" s="373"/>
      <c r="T116" s="373"/>
      <c r="U116" s="373"/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  <c r="AI116" s="373"/>
      <c r="AJ116" s="373"/>
      <c r="AK116" s="373"/>
      <c r="AL116" s="373"/>
      <c r="AM116" s="373"/>
      <c r="AN116" s="373"/>
      <c r="AO116" s="373"/>
      <c r="AP116" s="373"/>
      <c r="AQ116" s="373"/>
      <c r="AR116" s="373"/>
      <c r="AS116" s="373"/>
      <c r="AT116" s="373"/>
      <c r="AU116" s="373"/>
      <c r="AV116" s="373"/>
      <c r="AW116" s="373"/>
      <c r="AX116" s="373"/>
      <c r="AY116" s="373"/>
      <c r="AZ116" s="373"/>
      <c r="BA116" s="373"/>
      <c r="BB116" s="373"/>
      <c r="BC116" s="373"/>
      <c r="BD116" s="373"/>
      <c r="BE116" s="373"/>
      <c r="BF116" s="373"/>
      <c r="BG116" s="373"/>
      <c r="BH116" s="373"/>
      <c r="BI116" s="373"/>
      <c r="BJ116" s="373"/>
      <c r="BK116" s="373"/>
      <c r="BL116" s="373"/>
      <c r="BM116" s="373"/>
      <c r="BN116" s="373"/>
      <c r="BO116" s="373"/>
      <c r="BP116" s="373"/>
      <c r="BQ116" s="373"/>
      <c r="BR116" s="373"/>
      <c r="BS116" s="373"/>
      <c r="BT116" s="373"/>
      <c r="BU116" s="373"/>
      <c r="BV116" s="373"/>
      <c r="BW116" s="373"/>
      <c r="BX116" s="373"/>
      <c r="BY116" s="373"/>
      <c r="BZ116" s="373"/>
      <c r="CA116" s="373"/>
      <c r="CB116" s="373"/>
      <c r="CC116" s="373"/>
      <c r="CD116" s="373"/>
      <c r="CE116" s="373"/>
      <c r="CF116" s="373"/>
      <c r="CG116" s="373"/>
      <c r="CH116" s="373"/>
      <c r="CI116" s="373"/>
      <c r="CJ116" s="373"/>
      <c r="CK116" s="373"/>
      <c r="CL116" s="373"/>
      <c r="CM116" s="373"/>
      <c r="CN116" s="373"/>
      <c r="CO116" s="373"/>
      <c r="CP116" s="373"/>
      <c r="CQ116" s="373"/>
      <c r="CR116" s="373"/>
      <c r="CS116" s="373"/>
      <c r="CT116" s="373"/>
      <c r="CU116" s="373"/>
      <c r="CV116" s="373"/>
      <c r="CW116" s="373"/>
      <c r="CX116" s="373"/>
      <c r="CY116" s="373"/>
      <c r="CZ116" s="373"/>
      <c r="DA116" s="373"/>
      <c r="DB116" s="373"/>
      <c r="DC116" s="373"/>
      <c r="DD116" s="373"/>
      <c r="DE116" s="373"/>
      <c r="DF116" s="373"/>
      <c r="DG116" s="373"/>
      <c r="DH116" s="373"/>
      <c r="DI116" s="373"/>
      <c r="DJ116" s="373"/>
      <c r="DK116" s="373"/>
      <c r="DL116" s="373"/>
      <c r="DM116" s="373"/>
      <c r="DN116" s="373"/>
      <c r="DO116" s="373"/>
      <c r="DP116" s="373"/>
      <c r="DQ116" s="373"/>
      <c r="DR116" s="373"/>
      <c r="DS116" s="373"/>
      <c r="DT116" s="373"/>
      <c r="DU116" s="373"/>
      <c r="DV116" s="373"/>
      <c r="DW116" s="373"/>
      <c r="DX116" s="373"/>
      <c r="DY116" s="373"/>
      <c r="DZ116" s="373"/>
      <c r="EA116" s="373"/>
      <c r="EB116" s="373"/>
      <c r="EC116" s="373"/>
      <c r="ED116" s="373"/>
      <c r="EE116" s="373"/>
      <c r="EF116" s="373"/>
      <c r="EG116" s="373"/>
      <c r="EH116" s="373"/>
      <c r="EI116" s="373"/>
      <c r="EJ116" s="373"/>
      <c r="EK116" s="373"/>
      <c r="EL116" s="373"/>
      <c r="EM116" s="373"/>
      <c r="EN116" s="373"/>
      <c r="EO116" s="373"/>
      <c r="EP116" s="373"/>
      <c r="EQ116" s="373"/>
      <c r="ER116" s="373"/>
      <c r="ES116" s="373"/>
      <c r="ET116" s="373"/>
      <c r="EU116" s="373"/>
      <c r="EV116" s="373"/>
      <c r="EW116" s="373"/>
      <c r="EX116" s="373"/>
      <c r="EY116" s="373"/>
      <c r="EZ116" s="373"/>
      <c r="FA116" s="373"/>
      <c r="FB116" s="373"/>
      <c r="FC116" s="373"/>
      <c r="FD116" s="373"/>
      <c r="FE116" s="373"/>
      <c r="FF116" s="373"/>
      <c r="FG116" s="373"/>
      <c r="FH116" s="373"/>
      <c r="FI116" s="373"/>
      <c r="FJ116" s="373"/>
      <c r="FK116" s="373"/>
      <c r="FL116" s="373"/>
      <c r="FM116" s="373"/>
      <c r="FN116" s="373"/>
      <c r="FO116" s="373"/>
      <c r="FP116" s="373"/>
      <c r="FQ116" s="373"/>
      <c r="FR116" s="373"/>
      <c r="FS116" s="373"/>
      <c r="FT116" s="373"/>
      <c r="FU116" s="373"/>
      <c r="FV116" s="373"/>
      <c r="FW116" s="373"/>
      <c r="FX116" s="373"/>
      <c r="FY116" s="373"/>
      <c r="FZ116" s="373"/>
      <c r="GA116" s="373"/>
      <c r="GB116" s="373"/>
      <c r="GC116" s="373"/>
      <c r="GD116" s="373"/>
      <c r="GE116" s="373"/>
      <c r="GF116" s="373"/>
      <c r="GG116" s="373"/>
      <c r="GH116" s="373"/>
      <c r="GI116" s="373"/>
      <c r="GJ116" s="373"/>
      <c r="GK116" s="373"/>
      <c r="GL116" s="373"/>
      <c r="GM116" s="373"/>
      <c r="GN116" s="373"/>
      <c r="GO116" s="373"/>
      <c r="GP116" s="373"/>
      <c r="GQ116" s="373"/>
      <c r="GR116" s="373"/>
      <c r="GS116" s="373"/>
      <c r="GT116" s="373"/>
      <c r="GU116" s="373"/>
      <c r="GV116" s="373"/>
      <c r="GW116" s="373"/>
      <c r="GX116" s="373"/>
      <c r="GY116" s="373"/>
      <c r="GZ116" s="373"/>
      <c r="HA116" s="373"/>
      <c r="HB116" s="373"/>
      <c r="HC116" s="373"/>
      <c r="HD116" s="373"/>
      <c r="HE116" s="373"/>
      <c r="HF116" s="373"/>
      <c r="HG116" s="373"/>
      <c r="HH116" s="373"/>
      <c r="HI116" s="373"/>
      <c r="HJ116" s="373"/>
      <c r="HK116" s="373"/>
      <c r="HL116" s="373"/>
      <c r="HM116" s="373"/>
      <c r="HN116" s="373"/>
      <c r="HO116" s="373"/>
      <c r="HP116" s="373"/>
      <c r="HQ116" s="373"/>
      <c r="HR116" s="373"/>
      <c r="HS116" s="373"/>
      <c r="HT116" s="373"/>
      <c r="HU116" s="373"/>
      <c r="HV116" s="373"/>
      <c r="HW116" s="373"/>
      <c r="HX116" s="373"/>
      <c r="HY116" s="373"/>
      <c r="HZ116" s="373"/>
      <c r="IA116" s="373"/>
      <c r="IB116" s="373"/>
      <c r="IC116" s="373"/>
      <c r="ID116" s="373"/>
      <c r="IE116" s="373"/>
      <c r="IF116" s="373"/>
      <c r="IG116" s="373"/>
      <c r="IH116" s="373"/>
      <c r="II116" s="373"/>
      <c r="IJ116" s="373"/>
      <c r="IK116" s="373"/>
      <c r="IL116" s="373"/>
      <c r="IM116" s="373"/>
      <c r="IN116" s="373"/>
      <c r="IO116" s="373"/>
      <c r="IP116" s="373"/>
      <c r="IQ116" s="373"/>
    </row>
    <row r="117" spans="1:251" ht="9.9499999999999993" customHeight="1">
      <c r="A117" s="374"/>
      <c r="B117" s="375"/>
      <c r="C117" s="396"/>
      <c r="D117" s="396"/>
      <c r="E117" s="397"/>
      <c r="F117" s="368"/>
      <c r="G117" s="356"/>
      <c r="H117" s="356"/>
      <c r="I117" s="356"/>
    </row>
    <row r="118" spans="1:251">
      <c r="A118" s="1099" t="s">
        <v>605</v>
      </c>
      <c r="B118" s="1099"/>
      <c r="C118" s="378">
        <f>C120</f>
        <v>20000</v>
      </c>
      <c r="D118" s="378">
        <f>D120</f>
        <v>20000</v>
      </c>
      <c r="E118" s="379">
        <f>E120</f>
        <v>0</v>
      </c>
      <c r="F118" s="368"/>
      <c r="G118" s="378">
        <f>G122</f>
        <v>20000</v>
      </c>
      <c r="H118" s="378">
        <f>H122</f>
        <v>20000</v>
      </c>
      <c r="I118" s="378">
        <f>I122</f>
        <v>0</v>
      </c>
      <c r="J118" s="377"/>
      <c r="K118" s="377"/>
      <c r="L118" s="377"/>
      <c r="M118" s="377"/>
      <c r="N118" s="377"/>
      <c r="O118" s="377"/>
      <c r="P118" s="377"/>
      <c r="Q118" s="377"/>
      <c r="R118" s="377"/>
      <c r="S118" s="377"/>
      <c r="T118" s="377"/>
      <c r="U118" s="377"/>
      <c r="V118" s="377"/>
      <c r="W118" s="377"/>
      <c r="X118" s="377"/>
      <c r="Y118" s="377"/>
      <c r="Z118" s="377"/>
      <c r="AA118" s="377"/>
      <c r="AB118" s="377"/>
      <c r="AC118" s="377"/>
      <c r="AD118" s="377"/>
      <c r="AE118" s="377"/>
      <c r="AF118" s="377"/>
      <c r="AG118" s="377"/>
      <c r="AH118" s="377"/>
      <c r="AI118" s="377"/>
      <c r="AJ118" s="377"/>
      <c r="AK118" s="377"/>
      <c r="AL118" s="377"/>
      <c r="AM118" s="377"/>
      <c r="AN118" s="377"/>
      <c r="AO118" s="377"/>
      <c r="AP118" s="377"/>
      <c r="AQ118" s="377"/>
      <c r="AR118" s="377"/>
      <c r="AS118" s="377"/>
      <c r="AT118" s="377"/>
      <c r="AU118" s="377"/>
      <c r="AV118" s="377"/>
      <c r="AW118" s="377"/>
      <c r="AX118" s="377"/>
      <c r="AY118" s="377"/>
      <c r="AZ118" s="377"/>
      <c r="BA118" s="377"/>
      <c r="BB118" s="377"/>
      <c r="BC118" s="377"/>
      <c r="BD118" s="377"/>
      <c r="BE118" s="377"/>
      <c r="BF118" s="377"/>
      <c r="BG118" s="377"/>
      <c r="BH118" s="377"/>
      <c r="BI118" s="377"/>
      <c r="BJ118" s="377"/>
      <c r="BK118" s="377"/>
      <c r="BL118" s="377"/>
      <c r="BM118" s="377"/>
      <c r="BN118" s="377"/>
      <c r="BO118" s="377"/>
      <c r="BP118" s="377"/>
      <c r="BQ118" s="377"/>
      <c r="BR118" s="377"/>
      <c r="BS118" s="377"/>
      <c r="BT118" s="377"/>
      <c r="BU118" s="377"/>
      <c r="BV118" s="377"/>
      <c r="BW118" s="377"/>
      <c r="BX118" s="377"/>
      <c r="BY118" s="377"/>
      <c r="BZ118" s="377"/>
      <c r="CA118" s="377"/>
      <c r="CB118" s="377"/>
      <c r="CC118" s="377"/>
      <c r="CD118" s="377"/>
      <c r="CE118" s="377"/>
      <c r="CF118" s="377"/>
      <c r="CG118" s="377"/>
      <c r="CH118" s="377"/>
      <c r="CI118" s="377"/>
      <c r="CJ118" s="377"/>
      <c r="CK118" s="377"/>
      <c r="CL118" s="377"/>
      <c r="CM118" s="377"/>
      <c r="CN118" s="377"/>
      <c r="CO118" s="377"/>
      <c r="CP118" s="377"/>
      <c r="CQ118" s="377"/>
      <c r="CR118" s="377"/>
      <c r="CS118" s="377"/>
      <c r="CT118" s="377"/>
      <c r="CU118" s="377"/>
      <c r="CV118" s="377"/>
      <c r="CW118" s="377"/>
      <c r="CX118" s="377"/>
      <c r="CY118" s="377"/>
      <c r="CZ118" s="377"/>
      <c r="DA118" s="377"/>
      <c r="DB118" s="377"/>
      <c r="DC118" s="377"/>
      <c r="DD118" s="377"/>
      <c r="DE118" s="377"/>
      <c r="DF118" s="377"/>
      <c r="DG118" s="377"/>
      <c r="DH118" s="377"/>
      <c r="DI118" s="377"/>
      <c r="DJ118" s="377"/>
      <c r="DK118" s="377"/>
      <c r="DL118" s="377"/>
      <c r="DM118" s="377"/>
      <c r="DN118" s="377"/>
      <c r="DO118" s="377"/>
      <c r="DP118" s="377"/>
      <c r="DQ118" s="377"/>
      <c r="DR118" s="377"/>
      <c r="DS118" s="377"/>
      <c r="DT118" s="377"/>
      <c r="DU118" s="377"/>
      <c r="DV118" s="377"/>
      <c r="DW118" s="377"/>
      <c r="DX118" s="377"/>
      <c r="DY118" s="377"/>
      <c r="DZ118" s="377"/>
      <c r="EA118" s="377"/>
      <c r="EB118" s="377"/>
      <c r="EC118" s="377"/>
      <c r="ED118" s="377"/>
      <c r="EE118" s="377"/>
      <c r="EF118" s="377"/>
      <c r="EG118" s="377"/>
      <c r="EH118" s="377"/>
      <c r="EI118" s="377"/>
      <c r="EJ118" s="377"/>
      <c r="EK118" s="377"/>
      <c r="EL118" s="377"/>
      <c r="EM118" s="377"/>
      <c r="EN118" s="377"/>
      <c r="EO118" s="377"/>
      <c r="EP118" s="377"/>
      <c r="EQ118" s="377"/>
      <c r="ER118" s="377"/>
      <c r="ES118" s="377"/>
      <c r="ET118" s="377"/>
      <c r="EU118" s="377"/>
      <c r="EV118" s="377"/>
      <c r="EW118" s="377"/>
      <c r="EX118" s="377"/>
      <c r="EY118" s="377"/>
      <c r="EZ118" s="377"/>
      <c r="FA118" s="377"/>
      <c r="FB118" s="377"/>
      <c r="FC118" s="377"/>
      <c r="FD118" s="377"/>
      <c r="FE118" s="377"/>
      <c r="FF118" s="377"/>
      <c r="FG118" s="377"/>
      <c r="FH118" s="377"/>
      <c r="FI118" s="377"/>
      <c r="FJ118" s="377"/>
      <c r="FK118" s="377"/>
      <c r="FL118" s="377"/>
      <c r="FM118" s="377"/>
      <c r="FN118" s="377"/>
      <c r="FO118" s="377"/>
      <c r="FP118" s="377"/>
      <c r="FQ118" s="377"/>
      <c r="FR118" s="377"/>
      <c r="FS118" s="377"/>
      <c r="FT118" s="377"/>
      <c r="FU118" s="377"/>
      <c r="FV118" s="377"/>
      <c r="FW118" s="377"/>
      <c r="FX118" s="377"/>
      <c r="FY118" s="377"/>
      <c r="FZ118" s="377"/>
      <c r="GA118" s="377"/>
      <c r="GB118" s="377"/>
      <c r="GC118" s="377"/>
      <c r="GD118" s="377"/>
      <c r="GE118" s="377"/>
      <c r="GF118" s="377"/>
      <c r="GG118" s="377"/>
      <c r="GH118" s="377"/>
      <c r="GI118" s="377"/>
      <c r="GJ118" s="377"/>
      <c r="GK118" s="377"/>
      <c r="GL118" s="377"/>
      <c r="GM118" s="377"/>
      <c r="GN118" s="377"/>
      <c r="GO118" s="377"/>
      <c r="GP118" s="377"/>
      <c r="GQ118" s="377"/>
      <c r="GR118" s="377"/>
      <c r="GS118" s="377"/>
      <c r="GT118" s="377"/>
      <c r="GU118" s="377"/>
      <c r="GV118" s="377"/>
      <c r="GW118" s="377"/>
      <c r="GX118" s="377"/>
      <c r="GY118" s="377"/>
      <c r="GZ118" s="377"/>
      <c r="HA118" s="377"/>
      <c r="HB118" s="377"/>
      <c r="HC118" s="377"/>
      <c r="HD118" s="377"/>
      <c r="HE118" s="377"/>
      <c r="HF118" s="377"/>
      <c r="HG118" s="377"/>
      <c r="HH118" s="377"/>
      <c r="HI118" s="377"/>
      <c r="HJ118" s="377"/>
      <c r="HK118" s="377"/>
      <c r="HL118" s="377"/>
      <c r="HM118" s="377"/>
      <c r="HN118" s="377"/>
      <c r="HO118" s="377"/>
      <c r="HP118" s="377"/>
      <c r="HQ118" s="377"/>
      <c r="HR118" s="377"/>
      <c r="HS118" s="377"/>
      <c r="HT118" s="377"/>
      <c r="HU118" s="377"/>
      <c r="HV118" s="377"/>
      <c r="HW118" s="377"/>
      <c r="HX118" s="377"/>
      <c r="HY118" s="377"/>
      <c r="HZ118" s="377"/>
      <c r="IA118" s="377"/>
      <c r="IB118" s="377"/>
      <c r="IC118" s="377"/>
      <c r="ID118" s="377"/>
      <c r="IE118" s="377"/>
      <c r="IF118" s="377"/>
      <c r="IG118" s="377"/>
      <c r="IH118" s="377"/>
      <c r="II118" s="377"/>
      <c r="IJ118" s="377"/>
      <c r="IK118" s="377"/>
      <c r="IL118" s="377"/>
      <c r="IM118" s="377"/>
      <c r="IN118" s="377"/>
      <c r="IO118" s="377"/>
      <c r="IP118" s="377"/>
      <c r="IQ118" s="377"/>
    </row>
    <row r="119" spans="1:251" ht="9.9499999999999993" customHeight="1">
      <c r="A119" s="369"/>
      <c r="B119" s="398"/>
      <c r="C119" s="371"/>
      <c r="D119" s="371"/>
      <c r="E119" s="372"/>
      <c r="F119" s="368"/>
      <c r="G119" s="399"/>
      <c r="H119" s="399"/>
      <c r="I119" s="399"/>
      <c r="J119" s="373"/>
      <c r="K119" s="373"/>
      <c r="L119" s="373"/>
      <c r="M119" s="373"/>
      <c r="N119" s="373"/>
      <c r="O119" s="373"/>
      <c r="P119" s="373"/>
      <c r="Q119" s="373"/>
      <c r="R119" s="373"/>
      <c r="S119" s="373"/>
      <c r="T119" s="373"/>
      <c r="U119" s="373"/>
      <c r="V119" s="373"/>
      <c r="W119" s="373"/>
      <c r="X119" s="373"/>
      <c r="Y119" s="373"/>
      <c r="Z119" s="373"/>
      <c r="AA119" s="373"/>
      <c r="AB119" s="373"/>
      <c r="AC119" s="373"/>
      <c r="AD119" s="373"/>
      <c r="AE119" s="373"/>
      <c r="AF119" s="373"/>
      <c r="AG119" s="373"/>
      <c r="AH119" s="373"/>
      <c r="AI119" s="373"/>
      <c r="AJ119" s="373"/>
      <c r="AK119" s="373"/>
      <c r="AL119" s="373"/>
      <c r="AM119" s="373"/>
      <c r="AN119" s="373"/>
      <c r="AO119" s="373"/>
      <c r="AP119" s="373"/>
      <c r="AQ119" s="373"/>
      <c r="AR119" s="373"/>
      <c r="AS119" s="373"/>
      <c r="AT119" s="373"/>
      <c r="AU119" s="373"/>
      <c r="AV119" s="373"/>
      <c r="AW119" s="373"/>
      <c r="AX119" s="373"/>
      <c r="AY119" s="373"/>
      <c r="AZ119" s="373"/>
      <c r="BA119" s="373"/>
      <c r="BB119" s="373"/>
      <c r="BC119" s="373"/>
      <c r="BD119" s="373"/>
      <c r="BE119" s="373"/>
      <c r="BF119" s="373"/>
      <c r="BG119" s="373"/>
      <c r="BH119" s="373"/>
      <c r="BI119" s="373"/>
      <c r="BJ119" s="373"/>
      <c r="BK119" s="373"/>
      <c r="BL119" s="373"/>
      <c r="BM119" s="373"/>
      <c r="BN119" s="373"/>
      <c r="BO119" s="373"/>
      <c r="BP119" s="373"/>
      <c r="BQ119" s="373"/>
      <c r="BR119" s="373"/>
      <c r="BS119" s="373"/>
      <c r="BT119" s="373"/>
      <c r="BU119" s="373"/>
      <c r="BV119" s="373"/>
      <c r="BW119" s="373"/>
      <c r="BX119" s="373"/>
      <c r="BY119" s="373"/>
      <c r="BZ119" s="373"/>
      <c r="CA119" s="373"/>
      <c r="CB119" s="373"/>
      <c r="CC119" s="373"/>
      <c r="CD119" s="373"/>
      <c r="CE119" s="373"/>
      <c r="CF119" s="373"/>
      <c r="CG119" s="373"/>
      <c r="CH119" s="373"/>
      <c r="CI119" s="373"/>
      <c r="CJ119" s="373"/>
      <c r="CK119" s="373"/>
      <c r="CL119" s="373"/>
      <c r="CM119" s="373"/>
      <c r="CN119" s="373"/>
      <c r="CO119" s="373"/>
      <c r="CP119" s="373"/>
      <c r="CQ119" s="373"/>
      <c r="CR119" s="373"/>
      <c r="CS119" s="373"/>
      <c r="CT119" s="373"/>
      <c r="CU119" s="373"/>
      <c r="CV119" s="373"/>
      <c r="CW119" s="373"/>
      <c r="CX119" s="373"/>
      <c r="CY119" s="373"/>
      <c r="CZ119" s="373"/>
      <c r="DA119" s="373"/>
      <c r="DB119" s="373"/>
      <c r="DC119" s="373"/>
      <c r="DD119" s="373"/>
      <c r="DE119" s="373"/>
      <c r="DF119" s="373"/>
      <c r="DG119" s="373"/>
      <c r="DH119" s="373"/>
      <c r="DI119" s="373"/>
      <c r="DJ119" s="373"/>
      <c r="DK119" s="373"/>
      <c r="DL119" s="373"/>
      <c r="DM119" s="373"/>
      <c r="DN119" s="373"/>
      <c r="DO119" s="373"/>
      <c r="DP119" s="373"/>
      <c r="DQ119" s="373"/>
      <c r="DR119" s="373"/>
      <c r="DS119" s="373"/>
      <c r="DT119" s="373"/>
      <c r="DU119" s="373"/>
      <c r="DV119" s="373"/>
      <c r="DW119" s="373"/>
      <c r="DX119" s="373"/>
      <c r="DY119" s="373"/>
      <c r="DZ119" s="373"/>
      <c r="EA119" s="373"/>
      <c r="EB119" s="373"/>
      <c r="EC119" s="373"/>
      <c r="ED119" s="373"/>
      <c r="EE119" s="373"/>
      <c r="EF119" s="373"/>
      <c r="EG119" s="373"/>
      <c r="EH119" s="373"/>
      <c r="EI119" s="373"/>
      <c r="EJ119" s="373"/>
      <c r="EK119" s="373"/>
      <c r="EL119" s="373"/>
      <c r="EM119" s="373"/>
      <c r="EN119" s="373"/>
      <c r="EO119" s="373"/>
      <c r="EP119" s="373"/>
      <c r="EQ119" s="373"/>
      <c r="ER119" s="373"/>
      <c r="ES119" s="373"/>
      <c r="ET119" s="373"/>
      <c r="EU119" s="373"/>
      <c r="EV119" s="373"/>
      <c r="EW119" s="373"/>
      <c r="EX119" s="373"/>
      <c r="EY119" s="373"/>
      <c r="EZ119" s="373"/>
      <c r="FA119" s="373"/>
      <c r="FB119" s="373"/>
      <c r="FC119" s="373"/>
      <c r="FD119" s="373"/>
      <c r="FE119" s="373"/>
      <c r="FF119" s="373"/>
      <c r="FG119" s="373"/>
      <c r="FH119" s="373"/>
      <c r="FI119" s="373"/>
      <c r="FJ119" s="373"/>
      <c r="FK119" s="373"/>
      <c r="FL119" s="373"/>
      <c r="FM119" s="373"/>
      <c r="FN119" s="373"/>
      <c r="FO119" s="373"/>
      <c r="FP119" s="373"/>
      <c r="FQ119" s="373"/>
      <c r="FR119" s="373"/>
      <c r="FS119" s="373"/>
      <c r="FT119" s="373"/>
      <c r="FU119" s="373"/>
      <c r="FV119" s="373"/>
      <c r="FW119" s="373"/>
      <c r="FX119" s="373"/>
      <c r="FY119" s="373"/>
      <c r="FZ119" s="373"/>
      <c r="GA119" s="373"/>
      <c r="GB119" s="373"/>
      <c r="GC119" s="373"/>
      <c r="GD119" s="373"/>
      <c r="GE119" s="373"/>
      <c r="GF119" s="373"/>
      <c r="GG119" s="373"/>
      <c r="GH119" s="373"/>
      <c r="GI119" s="373"/>
      <c r="GJ119" s="373"/>
      <c r="GK119" s="373"/>
      <c r="GL119" s="373"/>
      <c r="GM119" s="373"/>
      <c r="GN119" s="373"/>
      <c r="GO119" s="373"/>
      <c r="GP119" s="373"/>
      <c r="GQ119" s="373"/>
      <c r="GR119" s="373"/>
      <c r="GS119" s="373"/>
      <c r="GT119" s="373"/>
      <c r="GU119" s="373"/>
      <c r="GV119" s="373"/>
      <c r="GW119" s="373"/>
      <c r="GX119" s="373"/>
      <c r="GY119" s="373"/>
      <c r="GZ119" s="373"/>
      <c r="HA119" s="373"/>
      <c r="HB119" s="373"/>
      <c r="HC119" s="373"/>
      <c r="HD119" s="373"/>
      <c r="HE119" s="373"/>
      <c r="HF119" s="373"/>
      <c r="HG119" s="373"/>
      <c r="HH119" s="373"/>
      <c r="HI119" s="373"/>
      <c r="HJ119" s="373"/>
      <c r="HK119" s="373"/>
      <c r="HL119" s="373"/>
      <c r="HM119" s="373"/>
      <c r="HN119" s="373"/>
      <c r="HO119" s="373"/>
      <c r="HP119" s="373"/>
      <c r="HQ119" s="373"/>
      <c r="HR119" s="373"/>
      <c r="HS119" s="373"/>
      <c r="HT119" s="373"/>
      <c r="HU119" s="373"/>
      <c r="HV119" s="373"/>
      <c r="HW119" s="373"/>
      <c r="HX119" s="373"/>
      <c r="HY119" s="373"/>
      <c r="HZ119" s="373"/>
      <c r="IA119" s="373"/>
      <c r="IB119" s="373"/>
      <c r="IC119" s="373"/>
      <c r="ID119" s="373"/>
      <c r="IE119" s="373"/>
      <c r="IF119" s="373"/>
      <c r="IG119" s="373"/>
      <c r="IH119" s="373"/>
      <c r="II119" s="373"/>
      <c r="IJ119" s="373"/>
      <c r="IK119" s="373"/>
      <c r="IL119" s="373"/>
      <c r="IM119" s="373"/>
      <c r="IN119" s="373"/>
      <c r="IO119" s="373"/>
      <c r="IP119" s="373"/>
      <c r="IQ119" s="373"/>
    </row>
    <row r="120" spans="1:251">
      <c r="A120" s="384"/>
      <c r="B120" s="385" t="s">
        <v>591</v>
      </c>
      <c r="C120" s="356">
        <f>D120+E120</f>
        <v>20000</v>
      </c>
      <c r="D120" s="356">
        <v>20000</v>
      </c>
      <c r="E120" s="376">
        <v>0</v>
      </c>
      <c r="F120" s="368"/>
      <c r="G120" s="386" t="s">
        <v>421</v>
      </c>
      <c r="H120" s="386" t="s">
        <v>421</v>
      </c>
      <c r="I120" s="386" t="s">
        <v>421</v>
      </c>
    </row>
    <row r="121" spans="1:251" ht="9.9499999999999993" customHeight="1">
      <c r="A121" s="352"/>
      <c r="B121" s="390"/>
      <c r="C121" s="354"/>
      <c r="D121" s="354"/>
      <c r="E121" s="355"/>
      <c r="F121" s="368"/>
      <c r="G121" s="356"/>
      <c r="H121" s="356"/>
      <c r="I121" s="356"/>
    </row>
    <row r="122" spans="1:251">
      <c r="A122" s="352"/>
      <c r="B122" s="391" t="s">
        <v>592</v>
      </c>
      <c r="C122" s="392" t="s">
        <v>421</v>
      </c>
      <c r="D122" s="392" t="s">
        <v>421</v>
      </c>
      <c r="E122" s="393" t="s">
        <v>421</v>
      </c>
      <c r="F122" s="368"/>
      <c r="G122" s="356">
        <f>H122+I122</f>
        <v>20000</v>
      </c>
      <c r="H122" s="356">
        <v>20000</v>
      </c>
      <c r="I122" s="356">
        <v>0</v>
      </c>
    </row>
    <row r="123" spans="1:251" ht="9.9499999999999993" customHeight="1">
      <c r="A123" s="407"/>
      <c r="B123" s="353"/>
      <c r="C123" s="403"/>
      <c r="D123" s="403"/>
      <c r="E123" s="404"/>
      <c r="F123" s="368"/>
      <c r="G123" s="356"/>
      <c r="H123" s="356"/>
      <c r="I123" s="356"/>
    </row>
    <row r="124" spans="1:251" ht="30">
      <c r="A124" s="280" t="s">
        <v>37</v>
      </c>
      <c r="B124" s="362" t="s">
        <v>42</v>
      </c>
      <c r="C124" s="283">
        <f>C126</f>
        <v>1000</v>
      </c>
      <c r="D124" s="283">
        <f>D126</f>
        <v>1000</v>
      </c>
      <c r="E124" s="363">
        <f>E126</f>
        <v>0</v>
      </c>
      <c r="F124" s="360"/>
      <c r="G124" s="283">
        <f>G126</f>
        <v>1000</v>
      </c>
      <c r="H124" s="283">
        <f>H126</f>
        <v>1000</v>
      </c>
      <c r="I124" s="283">
        <f>I126</f>
        <v>0</v>
      </c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  <c r="AT124" s="285"/>
      <c r="AU124" s="285"/>
      <c r="AV124" s="285"/>
      <c r="AW124" s="285"/>
      <c r="AX124" s="285"/>
      <c r="AY124" s="285"/>
      <c r="AZ124" s="285"/>
      <c r="BA124" s="285"/>
      <c r="BB124" s="285"/>
      <c r="BC124" s="285"/>
      <c r="BD124" s="285"/>
      <c r="BE124" s="285"/>
      <c r="BF124" s="285"/>
      <c r="BG124" s="285"/>
      <c r="BH124" s="285"/>
      <c r="BI124" s="285"/>
      <c r="BJ124" s="285"/>
      <c r="BK124" s="285"/>
      <c r="BL124" s="285"/>
      <c r="BM124" s="285"/>
      <c r="BN124" s="285"/>
      <c r="BO124" s="285"/>
      <c r="BP124" s="285"/>
      <c r="BQ124" s="285"/>
      <c r="BR124" s="285"/>
      <c r="BS124" s="285"/>
      <c r="BT124" s="285"/>
      <c r="BU124" s="285"/>
      <c r="BV124" s="285"/>
      <c r="BW124" s="285"/>
      <c r="BX124" s="285"/>
      <c r="BY124" s="285"/>
      <c r="BZ124" s="285"/>
      <c r="CA124" s="285"/>
      <c r="CB124" s="285"/>
      <c r="CC124" s="285"/>
      <c r="CD124" s="285"/>
      <c r="CE124" s="285"/>
      <c r="CF124" s="285"/>
      <c r="CG124" s="285"/>
      <c r="CH124" s="285"/>
      <c r="CI124" s="285"/>
      <c r="CJ124" s="285"/>
      <c r="CK124" s="285"/>
      <c r="CL124" s="285"/>
      <c r="CM124" s="285"/>
      <c r="CN124" s="285"/>
      <c r="CO124" s="285"/>
      <c r="CP124" s="285"/>
      <c r="CQ124" s="285"/>
      <c r="CR124" s="285"/>
      <c r="CS124" s="285"/>
      <c r="CT124" s="285"/>
      <c r="CU124" s="285"/>
      <c r="CV124" s="285"/>
      <c r="CW124" s="285"/>
      <c r="CX124" s="285"/>
      <c r="CY124" s="285"/>
      <c r="CZ124" s="285"/>
      <c r="DA124" s="285"/>
      <c r="DB124" s="285"/>
      <c r="DC124" s="285"/>
      <c r="DD124" s="285"/>
      <c r="DE124" s="285"/>
      <c r="DF124" s="285"/>
      <c r="DG124" s="285"/>
      <c r="DH124" s="285"/>
      <c r="DI124" s="285"/>
      <c r="DJ124" s="285"/>
      <c r="DK124" s="285"/>
      <c r="DL124" s="285"/>
      <c r="DM124" s="285"/>
      <c r="DN124" s="285"/>
      <c r="DO124" s="285"/>
      <c r="DP124" s="285"/>
      <c r="DQ124" s="285"/>
      <c r="DR124" s="285"/>
      <c r="DS124" s="285"/>
      <c r="DT124" s="285"/>
      <c r="DU124" s="285"/>
      <c r="DV124" s="285"/>
      <c r="DW124" s="285"/>
      <c r="DX124" s="285"/>
      <c r="DY124" s="285"/>
      <c r="DZ124" s="285"/>
      <c r="EA124" s="285"/>
      <c r="EB124" s="285"/>
      <c r="EC124" s="285"/>
      <c r="ED124" s="285"/>
      <c r="EE124" s="285"/>
      <c r="EF124" s="285"/>
      <c r="EG124" s="285"/>
      <c r="EH124" s="285"/>
      <c r="EI124" s="285"/>
      <c r="EJ124" s="285"/>
      <c r="EK124" s="285"/>
      <c r="EL124" s="285"/>
      <c r="EM124" s="285"/>
      <c r="EN124" s="285"/>
      <c r="EO124" s="285"/>
      <c r="EP124" s="285"/>
      <c r="EQ124" s="285"/>
      <c r="ER124" s="285"/>
      <c r="ES124" s="285"/>
      <c r="ET124" s="285"/>
      <c r="EU124" s="285"/>
      <c r="EV124" s="285"/>
      <c r="EW124" s="285"/>
      <c r="EX124" s="285"/>
      <c r="EY124" s="285"/>
      <c r="EZ124" s="285"/>
      <c r="FA124" s="285"/>
      <c r="FB124" s="285"/>
      <c r="FC124" s="285"/>
      <c r="FD124" s="285"/>
      <c r="FE124" s="285"/>
      <c r="FF124" s="285"/>
      <c r="FG124" s="285"/>
      <c r="FH124" s="285"/>
      <c r="FI124" s="285"/>
      <c r="FJ124" s="285"/>
      <c r="FK124" s="285"/>
      <c r="FL124" s="285"/>
      <c r="FM124" s="285"/>
      <c r="FN124" s="285"/>
      <c r="FO124" s="285"/>
      <c r="FP124" s="285"/>
      <c r="FQ124" s="285"/>
      <c r="FR124" s="285"/>
      <c r="FS124" s="285"/>
      <c r="FT124" s="285"/>
      <c r="FU124" s="285"/>
      <c r="FV124" s="285"/>
      <c r="FW124" s="285"/>
      <c r="FX124" s="285"/>
      <c r="FY124" s="285"/>
      <c r="FZ124" s="285"/>
      <c r="GA124" s="285"/>
      <c r="GB124" s="285"/>
      <c r="GC124" s="285"/>
      <c r="GD124" s="285"/>
      <c r="GE124" s="285"/>
      <c r="GF124" s="285"/>
      <c r="GG124" s="285"/>
      <c r="GH124" s="285"/>
      <c r="GI124" s="285"/>
      <c r="GJ124" s="285"/>
      <c r="GK124" s="285"/>
      <c r="GL124" s="285"/>
      <c r="GM124" s="285"/>
      <c r="GN124" s="285"/>
      <c r="GO124" s="285"/>
      <c r="GP124" s="285"/>
      <c r="GQ124" s="285"/>
      <c r="GR124" s="285"/>
      <c r="GS124" s="285"/>
      <c r="GT124" s="285"/>
      <c r="GU124" s="285"/>
      <c r="GV124" s="285"/>
      <c r="GW124" s="285"/>
      <c r="GX124" s="285"/>
      <c r="GY124" s="285"/>
      <c r="GZ124" s="285"/>
      <c r="HA124" s="285"/>
      <c r="HB124" s="285"/>
      <c r="HC124" s="285"/>
      <c r="HD124" s="285"/>
      <c r="HE124" s="285"/>
      <c r="HF124" s="285"/>
      <c r="HG124" s="285"/>
      <c r="HH124" s="285"/>
      <c r="HI124" s="285"/>
      <c r="HJ124" s="285"/>
      <c r="HK124" s="285"/>
      <c r="HL124" s="285"/>
      <c r="HM124" s="285"/>
      <c r="HN124" s="285"/>
      <c r="HO124" s="285"/>
      <c r="HP124" s="285"/>
      <c r="HQ124" s="285"/>
      <c r="HR124" s="285"/>
      <c r="HS124" s="285"/>
      <c r="HT124" s="285"/>
      <c r="HU124" s="285"/>
      <c r="HV124" s="285"/>
      <c r="HW124" s="285"/>
      <c r="HX124" s="285"/>
      <c r="HY124" s="285"/>
      <c r="HZ124" s="285"/>
      <c r="IA124" s="285"/>
      <c r="IB124" s="285"/>
      <c r="IC124" s="285"/>
      <c r="ID124" s="285"/>
      <c r="IE124" s="285"/>
      <c r="IF124" s="285"/>
      <c r="IG124" s="285"/>
      <c r="IH124" s="285"/>
      <c r="II124" s="285"/>
      <c r="IJ124" s="285"/>
      <c r="IK124" s="285"/>
      <c r="IL124" s="285"/>
      <c r="IM124" s="285"/>
      <c r="IN124" s="285"/>
      <c r="IO124" s="285"/>
      <c r="IP124" s="285"/>
      <c r="IQ124" s="285"/>
    </row>
    <row r="125" spans="1:251" ht="9.9499999999999993" customHeight="1">
      <c r="A125" s="364"/>
      <c r="B125" s="365"/>
      <c r="C125" s="394"/>
      <c r="D125" s="394"/>
      <c r="E125" s="395"/>
      <c r="F125" s="368"/>
      <c r="G125" s="356"/>
      <c r="H125" s="356"/>
      <c r="I125" s="356"/>
    </row>
    <row r="126" spans="1:251">
      <c r="A126" s="369" t="s">
        <v>454</v>
      </c>
      <c r="B126" s="370" t="s">
        <v>43</v>
      </c>
      <c r="C126" s="371">
        <f>C128</f>
        <v>1000</v>
      </c>
      <c r="D126" s="371">
        <f>D128</f>
        <v>1000</v>
      </c>
      <c r="E126" s="372">
        <f>E128</f>
        <v>0</v>
      </c>
      <c r="F126" s="368"/>
      <c r="G126" s="371">
        <f>G128</f>
        <v>1000</v>
      </c>
      <c r="H126" s="371">
        <f>H128</f>
        <v>1000</v>
      </c>
      <c r="I126" s="371">
        <f>I128</f>
        <v>0</v>
      </c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3"/>
      <c r="AI126" s="373"/>
      <c r="AJ126" s="373"/>
      <c r="AK126" s="373"/>
      <c r="AL126" s="373"/>
      <c r="AM126" s="373"/>
      <c r="AN126" s="373"/>
      <c r="AO126" s="373"/>
      <c r="AP126" s="373"/>
      <c r="AQ126" s="373"/>
      <c r="AR126" s="373"/>
      <c r="AS126" s="373"/>
      <c r="AT126" s="373"/>
      <c r="AU126" s="373"/>
      <c r="AV126" s="373"/>
      <c r="AW126" s="373"/>
      <c r="AX126" s="373"/>
      <c r="AY126" s="373"/>
      <c r="AZ126" s="373"/>
      <c r="BA126" s="373"/>
      <c r="BB126" s="373"/>
      <c r="BC126" s="373"/>
      <c r="BD126" s="373"/>
      <c r="BE126" s="373"/>
      <c r="BF126" s="373"/>
      <c r="BG126" s="373"/>
      <c r="BH126" s="373"/>
      <c r="BI126" s="373"/>
      <c r="BJ126" s="373"/>
      <c r="BK126" s="373"/>
      <c r="BL126" s="373"/>
      <c r="BM126" s="373"/>
      <c r="BN126" s="373"/>
      <c r="BO126" s="373"/>
      <c r="BP126" s="373"/>
      <c r="BQ126" s="373"/>
      <c r="BR126" s="373"/>
      <c r="BS126" s="373"/>
      <c r="BT126" s="373"/>
      <c r="BU126" s="373"/>
      <c r="BV126" s="373"/>
      <c r="BW126" s="373"/>
      <c r="BX126" s="373"/>
      <c r="BY126" s="373"/>
      <c r="BZ126" s="373"/>
      <c r="CA126" s="373"/>
      <c r="CB126" s="373"/>
      <c r="CC126" s="373"/>
      <c r="CD126" s="373"/>
      <c r="CE126" s="373"/>
      <c r="CF126" s="373"/>
      <c r="CG126" s="373"/>
      <c r="CH126" s="373"/>
      <c r="CI126" s="373"/>
      <c r="CJ126" s="373"/>
      <c r="CK126" s="373"/>
      <c r="CL126" s="373"/>
      <c r="CM126" s="373"/>
      <c r="CN126" s="373"/>
      <c r="CO126" s="373"/>
      <c r="CP126" s="373"/>
      <c r="CQ126" s="373"/>
      <c r="CR126" s="373"/>
      <c r="CS126" s="373"/>
      <c r="CT126" s="373"/>
      <c r="CU126" s="373"/>
      <c r="CV126" s="373"/>
      <c r="CW126" s="373"/>
      <c r="CX126" s="373"/>
      <c r="CY126" s="373"/>
      <c r="CZ126" s="373"/>
      <c r="DA126" s="373"/>
      <c r="DB126" s="373"/>
      <c r="DC126" s="373"/>
      <c r="DD126" s="373"/>
      <c r="DE126" s="373"/>
      <c r="DF126" s="373"/>
      <c r="DG126" s="373"/>
      <c r="DH126" s="373"/>
      <c r="DI126" s="373"/>
      <c r="DJ126" s="373"/>
      <c r="DK126" s="373"/>
      <c r="DL126" s="373"/>
      <c r="DM126" s="373"/>
      <c r="DN126" s="373"/>
      <c r="DO126" s="373"/>
      <c r="DP126" s="373"/>
      <c r="DQ126" s="373"/>
      <c r="DR126" s="373"/>
      <c r="DS126" s="373"/>
      <c r="DT126" s="373"/>
      <c r="DU126" s="373"/>
      <c r="DV126" s="373"/>
      <c r="DW126" s="373"/>
      <c r="DX126" s="373"/>
      <c r="DY126" s="373"/>
      <c r="DZ126" s="373"/>
      <c r="EA126" s="373"/>
      <c r="EB126" s="373"/>
      <c r="EC126" s="373"/>
      <c r="ED126" s="373"/>
      <c r="EE126" s="373"/>
      <c r="EF126" s="373"/>
      <c r="EG126" s="373"/>
      <c r="EH126" s="373"/>
      <c r="EI126" s="373"/>
      <c r="EJ126" s="373"/>
      <c r="EK126" s="373"/>
      <c r="EL126" s="373"/>
      <c r="EM126" s="373"/>
      <c r="EN126" s="373"/>
      <c r="EO126" s="373"/>
      <c r="EP126" s="373"/>
      <c r="EQ126" s="373"/>
      <c r="ER126" s="373"/>
      <c r="ES126" s="373"/>
      <c r="ET126" s="373"/>
      <c r="EU126" s="373"/>
      <c r="EV126" s="373"/>
      <c r="EW126" s="373"/>
      <c r="EX126" s="373"/>
      <c r="EY126" s="373"/>
      <c r="EZ126" s="373"/>
      <c r="FA126" s="373"/>
      <c r="FB126" s="373"/>
      <c r="FC126" s="373"/>
      <c r="FD126" s="373"/>
      <c r="FE126" s="373"/>
      <c r="FF126" s="373"/>
      <c r="FG126" s="373"/>
      <c r="FH126" s="373"/>
      <c r="FI126" s="373"/>
      <c r="FJ126" s="373"/>
      <c r="FK126" s="373"/>
      <c r="FL126" s="373"/>
      <c r="FM126" s="373"/>
      <c r="FN126" s="373"/>
      <c r="FO126" s="373"/>
      <c r="FP126" s="373"/>
      <c r="FQ126" s="373"/>
      <c r="FR126" s="373"/>
      <c r="FS126" s="373"/>
      <c r="FT126" s="373"/>
      <c r="FU126" s="373"/>
      <c r="FV126" s="373"/>
      <c r="FW126" s="373"/>
      <c r="FX126" s="373"/>
      <c r="FY126" s="373"/>
      <c r="FZ126" s="373"/>
      <c r="GA126" s="373"/>
      <c r="GB126" s="373"/>
      <c r="GC126" s="373"/>
      <c r="GD126" s="373"/>
      <c r="GE126" s="373"/>
      <c r="GF126" s="373"/>
      <c r="GG126" s="373"/>
      <c r="GH126" s="373"/>
      <c r="GI126" s="373"/>
      <c r="GJ126" s="373"/>
      <c r="GK126" s="373"/>
      <c r="GL126" s="373"/>
      <c r="GM126" s="373"/>
      <c r="GN126" s="373"/>
      <c r="GO126" s="373"/>
      <c r="GP126" s="373"/>
      <c r="GQ126" s="373"/>
      <c r="GR126" s="373"/>
      <c r="GS126" s="373"/>
      <c r="GT126" s="373"/>
      <c r="GU126" s="373"/>
      <c r="GV126" s="373"/>
      <c r="GW126" s="373"/>
      <c r="GX126" s="373"/>
      <c r="GY126" s="373"/>
      <c r="GZ126" s="373"/>
      <c r="HA126" s="373"/>
      <c r="HB126" s="373"/>
      <c r="HC126" s="373"/>
      <c r="HD126" s="373"/>
      <c r="HE126" s="373"/>
      <c r="HF126" s="373"/>
      <c r="HG126" s="373"/>
      <c r="HH126" s="373"/>
      <c r="HI126" s="373"/>
      <c r="HJ126" s="373"/>
      <c r="HK126" s="373"/>
      <c r="HL126" s="373"/>
      <c r="HM126" s="373"/>
      <c r="HN126" s="373"/>
      <c r="HO126" s="373"/>
      <c r="HP126" s="373"/>
      <c r="HQ126" s="373"/>
      <c r="HR126" s="373"/>
      <c r="HS126" s="373"/>
      <c r="HT126" s="373"/>
      <c r="HU126" s="373"/>
      <c r="HV126" s="373"/>
      <c r="HW126" s="373"/>
      <c r="HX126" s="373"/>
      <c r="HY126" s="373"/>
      <c r="HZ126" s="373"/>
      <c r="IA126" s="373"/>
      <c r="IB126" s="373"/>
      <c r="IC126" s="373"/>
      <c r="ID126" s="373"/>
      <c r="IE126" s="373"/>
      <c r="IF126" s="373"/>
      <c r="IG126" s="373"/>
      <c r="IH126" s="373"/>
      <c r="II126" s="373"/>
      <c r="IJ126" s="373"/>
      <c r="IK126" s="373"/>
      <c r="IL126" s="373"/>
      <c r="IM126" s="373"/>
      <c r="IN126" s="373"/>
      <c r="IO126" s="373"/>
      <c r="IP126" s="373"/>
      <c r="IQ126" s="373"/>
    </row>
    <row r="127" spans="1:251" ht="9.9499999999999993" customHeight="1">
      <c r="A127" s="374"/>
      <c r="B127" s="375"/>
      <c r="C127" s="396"/>
      <c r="D127" s="396"/>
      <c r="E127" s="397"/>
      <c r="F127" s="368"/>
      <c r="G127" s="356"/>
      <c r="H127" s="356"/>
      <c r="I127" s="356"/>
    </row>
    <row r="128" spans="1:251">
      <c r="A128" s="1099" t="s">
        <v>606</v>
      </c>
      <c r="B128" s="1099"/>
      <c r="C128" s="378">
        <f>C130</f>
        <v>1000</v>
      </c>
      <c r="D128" s="378">
        <f>D130</f>
        <v>1000</v>
      </c>
      <c r="E128" s="379">
        <f>E130</f>
        <v>0</v>
      </c>
      <c r="F128" s="368"/>
      <c r="G128" s="378">
        <f>G132+G134</f>
        <v>1000</v>
      </c>
      <c r="H128" s="378">
        <f>H132+H134</f>
        <v>1000</v>
      </c>
      <c r="I128" s="378">
        <f>I132+I134</f>
        <v>0</v>
      </c>
      <c r="J128" s="377"/>
      <c r="K128" s="377"/>
      <c r="L128" s="377"/>
      <c r="M128" s="377"/>
      <c r="N128" s="377"/>
      <c r="O128" s="377"/>
      <c r="P128" s="377"/>
      <c r="Q128" s="377"/>
      <c r="R128" s="377"/>
      <c r="S128" s="377"/>
      <c r="T128" s="377"/>
      <c r="U128" s="377"/>
      <c r="V128" s="377"/>
      <c r="W128" s="377"/>
      <c r="X128" s="377"/>
      <c r="Y128" s="377"/>
      <c r="Z128" s="377"/>
      <c r="AA128" s="377"/>
      <c r="AB128" s="377"/>
      <c r="AC128" s="377"/>
      <c r="AD128" s="377"/>
      <c r="AE128" s="377"/>
      <c r="AF128" s="377"/>
      <c r="AG128" s="377"/>
      <c r="AH128" s="377"/>
      <c r="AI128" s="377"/>
      <c r="AJ128" s="377"/>
      <c r="AK128" s="377"/>
      <c r="AL128" s="377"/>
      <c r="AM128" s="377"/>
      <c r="AN128" s="377"/>
      <c r="AO128" s="377"/>
      <c r="AP128" s="377"/>
      <c r="AQ128" s="377"/>
      <c r="AR128" s="377"/>
      <c r="AS128" s="377"/>
      <c r="AT128" s="377"/>
      <c r="AU128" s="377"/>
      <c r="AV128" s="377"/>
      <c r="AW128" s="377"/>
      <c r="AX128" s="377"/>
      <c r="AY128" s="377"/>
      <c r="AZ128" s="377"/>
      <c r="BA128" s="377"/>
      <c r="BB128" s="377"/>
      <c r="BC128" s="377"/>
      <c r="BD128" s="377"/>
      <c r="BE128" s="377"/>
      <c r="BF128" s="377"/>
      <c r="BG128" s="377"/>
      <c r="BH128" s="377"/>
      <c r="BI128" s="377"/>
      <c r="BJ128" s="377"/>
      <c r="BK128" s="377"/>
      <c r="BL128" s="377"/>
      <c r="BM128" s="377"/>
      <c r="BN128" s="377"/>
      <c r="BO128" s="377"/>
      <c r="BP128" s="377"/>
      <c r="BQ128" s="377"/>
      <c r="BR128" s="377"/>
      <c r="BS128" s="377"/>
      <c r="BT128" s="377"/>
      <c r="BU128" s="377"/>
      <c r="BV128" s="377"/>
      <c r="BW128" s="377"/>
      <c r="BX128" s="377"/>
      <c r="BY128" s="377"/>
      <c r="BZ128" s="377"/>
      <c r="CA128" s="377"/>
      <c r="CB128" s="377"/>
      <c r="CC128" s="377"/>
      <c r="CD128" s="377"/>
      <c r="CE128" s="377"/>
      <c r="CF128" s="377"/>
      <c r="CG128" s="377"/>
      <c r="CH128" s="377"/>
      <c r="CI128" s="377"/>
      <c r="CJ128" s="377"/>
      <c r="CK128" s="377"/>
      <c r="CL128" s="377"/>
      <c r="CM128" s="377"/>
      <c r="CN128" s="377"/>
      <c r="CO128" s="377"/>
      <c r="CP128" s="377"/>
      <c r="CQ128" s="377"/>
      <c r="CR128" s="377"/>
      <c r="CS128" s="377"/>
      <c r="CT128" s="377"/>
      <c r="CU128" s="377"/>
      <c r="CV128" s="377"/>
      <c r="CW128" s="377"/>
      <c r="CX128" s="377"/>
      <c r="CY128" s="377"/>
      <c r="CZ128" s="377"/>
      <c r="DA128" s="377"/>
      <c r="DB128" s="377"/>
      <c r="DC128" s="377"/>
      <c r="DD128" s="377"/>
      <c r="DE128" s="377"/>
      <c r="DF128" s="377"/>
      <c r="DG128" s="377"/>
      <c r="DH128" s="377"/>
      <c r="DI128" s="377"/>
      <c r="DJ128" s="377"/>
      <c r="DK128" s="377"/>
      <c r="DL128" s="377"/>
      <c r="DM128" s="377"/>
      <c r="DN128" s="377"/>
      <c r="DO128" s="377"/>
      <c r="DP128" s="377"/>
      <c r="DQ128" s="377"/>
      <c r="DR128" s="377"/>
      <c r="DS128" s="377"/>
      <c r="DT128" s="377"/>
      <c r="DU128" s="377"/>
      <c r="DV128" s="377"/>
      <c r="DW128" s="377"/>
      <c r="DX128" s="377"/>
      <c r="DY128" s="377"/>
      <c r="DZ128" s="377"/>
      <c r="EA128" s="377"/>
      <c r="EB128" s="377"/>
      <c r="EC128" s="377"/>
      <c r="ED128" s="377"/>
      <c r="EE128" s="377"/>
      <c r="EF128" s="377"/>
      <c r="EG128" s="377"/>
      <c r="EH128" s="377"/>
      <c r="EI128" s="377"/>
      <c r="EJ128" s="377"/>
      <c r="EK128" s="377"/>
      <c r="EL128" s="377"/>
      <c r="EM128" s="377"/>
      <c r="EN128" s="377"/>
      <c r="EO128" s="377"/>
      <c r="EP128" s="377"/>
      <c r="EQ128" s="377"/>
      <c r="ER128" s="377"/>
      <c r="ES128" s="377"/>
      <c r="ET128" s="377"/>
      <c r="EU128" s="377"/>
      <c r="EV128" s="377"/>
      <c r="EW128" s="377"/>
      <c r="EX128" s="377"/>
      <c r="EY128" s="377"/>
      <c r="EZ128" s="377"/>
      <c r="FA128" s="377"/>
      <c r="FB128" s="377"/>
      <c r="FC128" s="377"/>
      <c r="FD128" s="377"/>
      <c r="FE128" s="377"/>
      <c r="FF128" s="377"/>
      <c r="FG128" s="377"/>
      <c r="FH128" s="377"/>
      <c r="FI128" s="377"/>
      <c r="FJ128" s="377"/>
      <c r="FK128" s="377"/>
      <c r="FL128" s="377"/>
      <c r="FM128" s="377"/>
      <c r="FN128" s="377"/>
      <c r="FO128" s="377"/>
      <c r="FP128" s="377"/>
      <c r="FQ128" s="377"/>
      <c r="FR128" s="377"/>
      <c r="FS128" s="377"/>
      <c r="FT128" s="377"/>
      <c r="FU128" s="377"/>
      <c r="FV128" s="377"/>
      <c r="FW128" s="377"/>
      <c r="FX128" s="377"/>
      <c r="FY128" s="377"/>
      <c r="FZ128" s="377"/>
      <c r="GA128" s="377"/>
      <c r="GB128" s="377"/>
      <c r="GC128" s="377"/>
      <c r="GD128" s="377"/>
      <c r="GE128" s="377"/>
      <c r="GF128" s="377"/>
      <c r="GG128" s="377"/>
      <c r="GH128" s="377"/>
      <c r="GI128" s="377"/>
      <c r="GJ128" s="377"/>
      <c r="GK128" s="377"/>
      <c r="GL128" s="377"/>
      <c r="GM128" s="377"/>
      <c r="GN128" s="377"/>
      <c r="GO128" s="377"/>
      <c r="GP128" s="377"/>
      <c r="GQ128" s="377"/>
      <c r="GR128" s="377"/>
      <c r="GS128" s="377"/>
      <c r="GT128" s="377"/>
      <c r="GU128" s="377"/>
      <c r="GV128" s="377"/>
      <c r="GW128" s="377"/>
      <c r="GX128" s="377"/>
      <c r="GY128" s="377"/>
      <c r="GZ128" s="377"/>
      <c r="HA128" s="377"/>
      <c r="HB128" s="377"/>
      <c r="HC128" s="377"/>
      <c r="HD128" s="377"/>
      <c r="HE128" s="377"/>
      <c r="HF128" s="377"/>
      <c r="HG128" s="377"/>
      <c r="HH128" s="377"/>
      <c r="HI128" s="377"/>
      <c r="HJ128" s="377"/>
      <c r="HK128" s="377"/>
      <c r="HL128" s="377"/>
      <c r="HM128" s="377"/>
      <c r="HN128" s="377"/>
      <c r="HO128" s="377"/>
      <c r="HP128" s="377"/>
      <c r="HQ128" s="377"/>
      <c r="HR128" s="377"/>
      <c r="HS128" s="377"/>
      <c r="HT128" s="377"/>
      <c r="HU128" s="377"/>
      <c r="HV128" s="377"/>
      <c r="HW128" s="377"/>
      <c r="HX128" s="377"/>
      <c r="HY128" s="377"/>
      <c r="HZ128" s="377"/>
      <c r="IA128" s="377"/>
      <c r="IB128" s="377"/>
      <c r="IC128" s="377"/>
      <c r="ID128" s="377"/>
      <c r="IE128" s="377"/>
      <c r="IF128" s="377"/>
      <c r="IG128" s="377"/>
      <c r="IH128" s="377"/>
      <c r="II128" s="377"/>
      <c r="IJ128" s="377"/>
      <c r="IK128" s="377"/>
      <c r="IL128" s="377"/>
      <c r="IM128" s="377"/>
      <c r="IN128" s="377"/>
      <c r="IO128" s="377"/>
      <c r="IP128" s="377"/>
      <c r="IQ128" s="377"/>
    </row>
    <row r="129" spans="1:251" ht="9.9499999999999993" customHeight="1">
      <c r="A129" s="369"/>
      <c r="B129" s="398"/>
      <c r="C129" s="371"/>
      <c r="D129" s="371"/>
      <c r="E129" s="372"/>
      <c r="F129" s="368"/>
      <c r="G129" s="399"/>
      <c r="H129" s="399"/>
      <c r="I129" s="399"/>
      <c r="J129" s="373"/>
      <c r="K129" s="373"/>
      <c r="L129" s="373"/>
      <c r="M129" s="373"/>
      <c r="N129" s="373"/>
      <c r="O129" s="373"/>
      <c r="P129" s="373"/>
      <c r="Q129" s="373"/>
      <c r="R129" s="373"/>
      <c r="S129" s="373"/>
      <c r="T129" s="373"/>
      <c r="U129" s="373"/>
      <c r="V129" s="373"/>
      <c r="W129" s="373"/>
      <c r="X129" s="373"/>
      <c r="Y129" s="373"/>
      <c r="Z129" s="373"/>
      <c r="AA129" s="373"/>
      <c r="AB129" s="373"/>
      <c r="AC129" s="373"/>
      <c r="AD129" s="373"/>
      <c r="AE129" s="373"/>
      <c r="AF129" s="373"/>
      <c r="AG129" s="373"/>
      <c r="AH129" s="373"/>
      <c r="AI129" s="373"/>
      <c r="AJ129" s="373"/>
      <c r="AK129" s="373"/>
      <c r="AL129" s="373"/>
      <c r="AM129" s="373"/>
      <c r="AN129" s="373"/>
      <c r="AO129" s="373"/>
      <c r="AP129" s="373"/>
      <c r="AQ129" s="373"/>
      <c r="AR129" s="373"/>
      <c r="AS129" s="373"/>
      <c r="AT129" s="373"/>
      <c r="AU129" s="373"/>
      <c r="AV129" s="373"/>
      <c r="AW129" s="373"/>
      <c r="AX129" s="373"/>
      <c r="AY129" s="373"/>
      <c r="AZ129" s="373"/>
      <c r="BA129" s="373"/>
      <c r="BB129" s="373"/>
      <c r="BC129" s="373"/>
      <c r="BD129" s="373"/>
      <c r="BE129" s="373"/>
      <c r="BF129" s="373"/>
      <c r="BG129" s="373"/>
      <c r="BH129" s="373"/>
      <c r="BI129" s="373"/>
      <c r="BJ129" s="373"/>
      <c r="BK129" s="373"/>
      <c r="BL129" s="373"/>
      <c r="BM129" s="373"/>
      <c r="BN129" s="373"/>
      <c r="BO129" s="373"/>
      <c r="BP129" s="373"/>
      <c r="BQ129" s="373"/>
      <c r="BR129" s="373"/>
      <c r="BS129" s="373"/>
      <c r="BT129" s="373"/>
      <c r="BU129" s="373"/>
      <c r="BV129" s="373"/>
      <c r="BW129" s="373"/>
      <c r="BX129" s="373"/>
      <c r="BY129" s="373"/>
      <c r="BZ129" s="373"/>
      <c r="CA129" s="373"/>
      <c r="CB129" s="373"/>
      <c r="CC129" s="373"/>
      <c r="CD129" s="373"/>
      <c r="CE129" s="373"/>
      <c r="CF129" s="373"/>
      <c r="CG129" s="373"/>
      <c r="CH129" s="373"/>
      <c r="CI129" s="373"/>
      <c r="CJ129" s="373"/>
      <c r="CK129" s="373"/>
      <c r="CL129" s="373"/>
      <c r="CM129" s="373"/>
      <c r="CN129" s="373"/>
      <c r="CO129" s="373"/>
      <c r="CP129" s="373"/>
      <c r="CQ129" s="373"/>
      <c r="CR129" s="373"/>
      <c r="CS129" s="373"/>
      <c r="CT129" s="373"/>
      <c r="CU129" s="373"/>
      <c r="CV129" s="373"/>
      <c r="CW129" s="373"/>
      <c r="CX129" s="373"/>
      <c r="CY129" s="373"/>
      <c r="CZ129" s="373"/>
      <c r="DA129" s="373"/>
      <c r="DB129" s="373"/>
      <c r="DC129" s="373"/>
      <c r="DD129" s="373"/>
      <c r="DE129" s="373"/>
      <c r="DF129" s="373"/>
      <c r="DG129" s="373"/>
      <c r="DH129" s="373"/>
      <c r="DI129" s="373"/>
      <c r="DJ129" s="373"/>
      <c r="DK129" s="373"/>
      <c r="DL129" s="373"/>
      <c r="DM129" s="373"/>
      <c r="DN129" s="373"/>
      <c r="DO129" s="373"/>
      <c r="DP129" s="373"/>
      <c r="DQ129" s="373"/>
      <c r="DR129" s="373"/>
      <c r="DS129" s="373"/>
      <c r="DT129" s="373"/>
      <c r="DU129" s="373"/>
      <c r="DV129" s="373"/>
      <c r="DW129" s="373"/>
      <c r="DX129" s="373"/>
      <c r="DY129" s="373"/>
      <c r="DZ129" s="373"/>
      <c r="EA129" s="373"/>
      <c r="EB129" s="373"/>
      <c r="EC129" s="373"/>
      <c r="ED129" s="373"/>
      <c r="EE129" s="373"/>
      <c r="EF129" s="373"/>
      <c r="EG129" s="373"/>
      <c r="EH129" s="373"/>
      <c r="EI129" s="373"/>
      <c r="EJ129" s="373"/>
      <c r="EK129" s="373"/>
      <c r="EL129" s="373"/>
      <c r="EM129" s="373"/>
      <c r="EN129" s="373"/>
      <c r="EO129" s="373"/>
      <c r="EP129" s="373"/>
      <c r="EQ129" s="373"/>
      <c r="ER129" s="373"/>
      <c r="ES129" s="373"/>
      <c r="ET129" s="373"/>
      <c r="EU129" s="373"/>
      <c r="EV129" s="373"/>
      <c r="EW129" s="373"/>
      <c r="EX129" s="373"/>
      <c r="EY129" s="373"/>
      <c r="EZ129" s="373"/>
      <c r="FA129" s="373"/>
      <c r="FB129" s="373"/>
      <c r="FC129" s="373"/>
      <c r="FD129" s="373"/>
      <c r="FE129" s="373"/>
      <c r="FF129" s="373"/>
      <c r="FG129" s="373"/>
      <c r="FH129" s="373"/>
      <c r="FI129" s="373"/>
      <c r="FJ129" s="373"/>
      <c r="FK129" s="373"/>
      <c r="FL129" s="373"/>
      <c r="FM129" s="373"/>
      <c r="FN129" s="373"/>
      <c r="FO129" s="373"/>
      <c r="FP129" s="373"/>
      <c r="FQ129" s="373"/>
      <c r="FR129" s="373"/>
      <c r="FS129" s="373"/>
      <c r="FT129" s="373"/>
      <c r="FU129" s="373"/>
      <c r="FV129" s="373"/>
      <c r="FW129" s="373"/>
      <c r="FX129" s="373"/>
      <c r="FY129" s="373"/>
      <c r="FZ129" s="373"/>
      <c r="GA129" s="373"/>
      <c r="GB129" s="373"/>
      <c r="GC129" s="373"/>
      <c r="GD129" s="373"/>
      <c r="GE129" s="373"/>
      <c r="GF129" s="373"/>
      <c r="GG129" s="373"/>
      <c r="GH129" s="373"/>
      <c r="GI129" s="373"/>
      <c r="GJ129" s="373"/>
      <c r="GK129" s="373"/>
      <c r="GL129" s="373"/>
      <c r="GM129" s="373"/>
      <c r="GN129" s="373"/>
      <c r="GO129" s="373"/>
      <c r="GP129" s="373"/>
      <c r="GQ129" s="373"/>
      <c r="GR129" s="373"/>
      <c r="GS129" s="373"/>
      <c r="GT129" s="373"/>
      <c r="GU129" s="373"/>
      <c r="GV129" s="373"/>
      <c r="GW129" s="373"/>
      <c r="GX129" s="373"/>
      <c r="GY129" s="373"/>
      <c r="GZ129" s="373"/>
      <c r="HA129" s="373"/>
      <c r="HB129" s="373"/>
      <c r="HC129" s="373"/>
      <c r="HD129" s="373"/>
      <c r="HE129" s="373"/>
      <c r="HF129" s="373"/>
      <c r="HG129" s="373"/>
      <c r="HH129" s="373"/>
      <c r="HI129" s="373"/>
      <c r="HJ129" s="373"/>
      <c r="HK129" s="373"/>
      <c r="HL129" s="373"/>
      <c r="HM129" s="373"/>
      <c r="HN129" s="373"/>
      <c r="HO129" s="373"/>
      <c r="HP129" s="373"/>
      <c r="HQ129" s="373"/>
      <c r="HR129" s="373"/>
      <c r="HS129" s="373"/>
      <c r="HT129" s="373"/>
      <c r="HU129" s="373"/>
      <c r="HV129" s="373"/>
      <c r="HW129" s="373"/>
      <c r="HX129" s="373"/>
      <c r="HY129" s="373"/>
      <c r="HZ129" s="373"/>
      <c r="IA129" s="373"/>
      <c r="IB129" s="373"/>
      <c r="IC129" s="373"/>
      <c r="ID129" s="373"/>
      <c r="IE129" s="373"/>
      <c r="IF129" s="373"/>
      <c r="IG129" s="373"/>
      <c r="IH129" s="373"/>
      <c r="II129" s="373"/>
      <c r="IJ129" s="373"/>
      <c r="IK129" s="373"/>
      <c r="IL129" s="373"/>
      <c r="IM129" s="373"/>
      <c r="IN129" s="373"/>
      <c r="IO129" s="373"/>
      <c r="IP129" s="373"/>
      <c r="IQ129" s="373"/>
    </row>
    <row r="130" spans="1:251">
      <c r="A130" s="384"/>
      <c r="B130" s="385" t="s">
        <v>591</v>
      </c>
      <c r="C130" s="356">
        <f>D130+E130</f>
        <v>1000</v>
      </c>
      <c r="D130" s="356">
        <v>1000</v>
      </c>
      <c r="E130" s="376">
        <v>0</v>
      </c>
      <c r="F130" s="368"/>
      <c r="G130" s="386" t="s">
        <v>421</v>
      </c>
      <c r="H130" s="386" t="s">
        <v>421</v>
      </c>
      <c r="I130" s="386" t="s">
        <v>421</v>
      </c>
    </row>
    <row r="131" spans="1:251" ht="9.9499999999999993" customHeight="1">
      <c r="A131" s="374"/>
      <c r="B131" s="375"/>
      <c r="C131" s="356"/>
      <c r="D131" s="356"/>
      <c r="E131" s="376"/>
      <c r="F131" s="368"/>
      <c r="G131" s="356"/>
      <c r="H131" s="356"/>
      <c r="I131" s="356"/>
    </row>
    <row r="132" spans="1:251">
      <c r="A132" s="416"/>
      <c r="B132" s="391" t="s">
        <v>314</v>
      </c>
      <c r="C132" s="386" t="s">
        <v>421</v>
      </c>
      <c r="D132" s="386" t="s">
        <v>421</v>
      </c>
      <c r="E132" s="400" t="s">
        <v>421</v>
      </c>
      <c r="F132" s="368"/>
      <c r="G132" s="356">
        <f>H132+I132</f>
        <v>900</v>
      </c>
      <c r="H132" s="356">
        <v>900</v>
      </c>
      <c r="I132" s="356">
        <v>0</v>
      </c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3"/>
      <c r="AK132" s="373"/>
      <c r="AL132" s="373"/>
      <c r="AM132" s="373"/>
      <c r="AN132" s="373"/>
      <c r="AO132" s="373"/>
      <c r="AP132" s="373"/>
      <c r="AQ132" s="373"/>
      <c r="AR132" s="373"/>
      <c r="AS132" s="373"/>
      <c r="AT132" s="373"/>
      <c r="AU132" s="373"/>
      <c r="AV132" s="373"/>
      <c r="AW132" s="373"/>
      <c r="AX132" s="373"/>
      <c r="AY132" s="373"/>
      <c r="AZ132" s="373"/>
      <c r="BA132" s="373"/>
      <c r="BB132" s="373"/>
      <c r="BC132" s="373"/>
      <c r="BD132" s="373"/>
      <c r="BE132" s="373"/>
      <c r="BF132" s="373"/>
      <c r="BG132" s="373"/>
      <c r="BH132" s="373"/>
      <c r="BI132" s="373"/>
      <c r="BJ132" s="373"/>
      <c r="BK132" s="373"/>
      <c r="BL132" s="373"/>
      <c r="BM132" s="373"/>
      <c r="BN132" s="373"/>
      <c r="BO132" s="373"/>
      <c r="BP132" s="373"/>
      <c r="BQ132" s="373"/>
      <c r="BR132" s="373"/>
      <c r="BS132" s="373"/>
      <c r="BT132" s="373"/>
      <c r="BU132" s="373"/>
      <c r="BV132" s="373"/>
      <c r="BW132" s="373"/>
      <c r="BX132" s="373"/>
      <c r="BY132" s="373"/>
      <c r="BZ132" s="373"/>
      <c r="CA132" s="373"/>
      <c r="CB132" s="373"/>
      <c r="CC132" s="373"/>
      <c r="CD132" s="373"/>
      <c r="CE132" s="373"/>
      <c r="CF132" s="373"/>
      <c r="CG132" s="373"/>
      <c r="CH132" s="373"/>
      <c r="CI132" s="373"/>
      <c r="CJ132" s="373"/>
      <c r="CK132" s="373"/>
      <c r="CL132" s="373"/>
      <c r="CM132" s="373"/>
      <c r="CN132" s="373"/>
      <c r="CO132" s="373"/>
      <c r="CP132" s="373"/>
      <c r="CQ132" s="373"/>
      <c r="CR132" s="373"/>
      <c r="CS132" s="373"/>
      <c r="CT132" s="373"/>
      <c r="CU132" s="373"/>
      <c r="CV132" s="373"/>
      <c r="CW132" s="373"/>
      <c r="CX132" s="373"/>
      <c r="CY132" s="373"/>
      <c r="CZ132" s="373"/>
      <c r="DA132" s="373"/>
      <c r="DB132" s="373"/>
      <c r="DC132" s="373"/>
      <c r="DD132" s="373"/>
      <c r="DE132" s="373"/>
      <c r="DF132" s="373"/>
      <c r="DG132" s="373"/>
      <c r="DH132" s="373"/>
      <c r="DI132" s="373"/>
      <c r="DJ132" s="373"/>
      <c r="DK132" s="373"/>
      <c r="DL132" s="373"/>
      <c r="DM132" s="373"/>
      <c r="DN132" s="373"/>
      <c r="DO132" s="373"/>
      <c r="DP132" s="373"/>
      <c r="DQ132" s="373"/>
      <c r="DR132" s="373"/>
      <c r="DS132" s="373"/>
      <c r="DT132" s="373"/>
      <c r="DU132" s="373"/>
      <c r="DV132" s="373"/>
      <c r="DW132" s="373"/>
      <c r="DX132" s="373"/>
      <c r="DY132" s="373"/>
      <c r="DZ132" s="373"/>
      <c r="EA132" s="373"/>
      <c r="EB132" s="373"/>
      <c r="EC132" s="373"/>
      <c r="ED132" s="373"/>
      <c r="EE132" s="373"/>
      <c r="EF132" s="373"/>
      <c r="EG132" s="373"/>
      <c r="EH132" s="373"/>
      <c r="EI132" s="373"/>
      <c r="EJ132" s="373"/>
      <c r="EK132" s="373"/>
      <c r="EL132" s="373"/>
      <c r="EM132" s="373"/>
      <c r="EN132" s="373"/>
      <c r="EO132" s="373"/>
      <c r="EP132" s="373"/>
      <c r="EQ132" s="373"/>
      <c r="ER132" s="373"/>
      <c r="ES132" s="373"/>
      <c r="ET132" s="373"/>
      <c r="EU132" s="373"/>
      <c r="EV132" s="373"/>
      <c r="EW132" s="373"/>
      <c r="EX132" s="373"/>
      <c r="EY132" s="373"/>
      <c r="EZ132" s="373"/>
      <c r="FA132" s="373"/>
      <c r="FB132" s="373"/>
      <c r="FC132" s="373"/>
      <c r="FD132" s="373"/>
      <c r="FE132" s="373"/>
      <c r="FF132" s="373"/>
      <c r="FG132" s="373"/>
      <c r="FH132" s="373"/>
      <c r="FI132" s="373"/>
      <c r="FJ132" s="373"/>
      <c r="FK132" s="373"/>
      <c r="FL132" s="373"/>
      <c r="FM132" s="373"/>
      <c r="FN132" s="373"/>
      <c r="FO132" s="373"/>
      <c r="FP132" s="373"/>
      <c r="FQ132" s="373"/>
      <c r="FR132" s="373"/>
      <c r="FS132" s="373"/>
      <c r="FT132" s="373"/>
      <c r="FU132" s="373"/>
      <c r="FV132" s="373"/>
      <c r="FW132" s="373"/>
      <c r="FX132" s="373"/>
      <c r="FY132" s="373"/>
      <c r="FZ132" s="373"/>
      <c r="GA132" s="373"/>
      <c r="GB132" s="373"/>
      <c r="GC132" s="373"/>
      <c r="GD132" s="373"/>
      <c r="GE132" s="373"/>
      <c r="GF132" s="373"/>
      <c r="GG132" s="373"/>
      <c r="GH132" s="373"/>
      <c r="GI132" s="373"/>
      <c r="GJ132" s="373"/>
      <c r="GK132" s="373"/>
      <c r="GL132" s="373"/>
      <c r="GM132" s="373"/>
      <c r="GN132" s="373"/>
      <c r="GO132" s="373"/>
      <c r="GP132" s="373"/>
      <c r="GQ132" s="373"/>
      <c r="GR132" s="373"/>
      <c r="GS132" s="373"/>
      <c r="GT132" s="373"/>
      <c r="GU132" s="373"/>
      <c r="GV132" s="373"/>
      <c r="GW132" s="373"/>
      <c r="GX132" s="373"/>
      <c r="GY132" s="373"/>
      <c r="GZ132" s="373"/>
      <c r="HA132" s="373"/>
      <c r="HB132" s="373"/>
      <c r="HC132" s="373"/>
      <c r="HD132" s="373"/>
      <c r="HE132" s="373"/>
      <c r="HF132" s="373"/>
      <c r="HG132" s="373"/>
      <c r="HH132" s="373"/>
      <c r="HI132" s="373"/>
      <c r="HJ132" s="373"/>
      <c r="HK132" s="373"/>
      <c r="HL132" s="373"/>
      <c r="HM132" s="373"/>
      <c r="HN132" s="373"/>
      <c r="HO132" s="373"/>
      <c r="HP132" s="373"/>
      <c r="HQ132" s="373"/>
      <c r="HR132" s="373"/>
      <c r="HS132" s="373"/>
      <c r="HT132" s="373"/>
      <c r="HU132" s="373"/>
      <c r="HV132" s="373"/>
      <c r="HW132" s="373"/>
      <c r="HX132" s="373"/>
      <c r="HY132" s="373"/>
      <c r="HZ132" s="373"/>
      <c r="IA132" s="373"/>
      <c r="IB132" s="373"/>
      <c r="IC132" s="373"/>
      <c r="ID132" s="373"/>
      <c r="IE132" s="373"/>
      <c r="IF132" s="373"/>
      <c r="IG132" s="373"/>
      <c r="IH132" s="373"/>
      <c r="II132" s="373"/>
      <c r="IJ132" s="373"/>
      <c r="IK132" s="373"/>
      <c r="IL132" s="373"/>
      <c r="IM132" s="373"/>
      <c r="IN132" s="373"/>
      <c r="IO132" s="373"/>
      <c r="IP132" s="373"/>
      <c r="IQ132" s="373"/>
    </row>
    <row r="133" spans="1:251" ht="9.9499999999999993" customHeight="1">
      <c r="A133" s="417"/>
      <c r="B133" s="413"/>
      <c r="C133" s="392"/>
      <c r="D133" s="392"/>
      <c r="E133" s="393"/>
      <c r="F133" s="368"/>
      <c r="G133" s="356"/>
      <c r="H133" s="356"/>
      <c r="I133" s="356"/>
      <c r="J133" s="373"/>
      <c r="K133" s="373"/>
      <c r="L133" s="373"/>
      <c r="M133" s="373"/>
      <c r="N133" s="373"/>
      <c r="O133" s="373"/>
      <c r="P133" s="373"/>
      <c r="Q133" s="373"/>
      <c r="R133" s="373"/>
      <c r="S133" s="373"/>
      <c r="T133" s="373"/>
      <c r="U133" s="373"/>
      <c r="V133" s="373"/>
      <c r="W133" s="373"/>
      <c r="X133" s="373"/>
      <c r="Y133" s="373"/>
      <c r="Z133" s="373"/>
      <c r="AA133" s="373"/>
      <c r="AB133" s="373"/>
      <c r="AC133" s="373"/>
      <c r="AD133" s="373"/>
      <c r="AE133" s="373"/>
      <c r="AF133" s="373"/>
      <c r="AG133" s="373"/>
      <c r="AH133" s="373"/>
      <c r="AI133" s="373"/>
      <c r="AJ133" s="373"/>
      <c r="AK133" s="373"/>
      <c r="AL133" s="373"/>
      <c r="AM133" s="373"/>
      <c r="AN133" s="373"/>
      <c r="AO133" s="373"/>
      <c r="AP133" s="373"/>
      <c r="AQ133" s="373"/>
      <c r="AR133" s="373"/>
      <c r="AS133" s="373"/>
      <c r="AT133" s="373"/>
      <c r="AU133" s="373"/>
      <c r="AV133" s="373"/>
      <c r="AW133" s="373"/>
      <c r="AX133" s="373"/>
      <c r="AY133" s="373"/>
      <c r="AZ133" s="373"/>
      <c r="BA133" s="373"/>
      <c r="BB133" s="373"/>
      <c r="BC133" s="373"/>
      <c r="BD133" s="373"/>
      <c r="BE133" s="373"/>
      <c r="BF133" s="373"/>
      <c r="BG133" s="373"/>
      <c r="BH133" s="373"/>
      <c r="BI133" s="373"/>
      <c r="BJ133" s="373"/>
      <c r="BK133" s="373"/>
      <c r="BL133" s="373"/>
      <c r="BM133" s="373"/>
      <c r="BN133" s="373"/>
      <c r="BO133" s="373"/>
      <c r="BP133" s="373"/>
      <c r="BQ133" s="373"/>
      <c r="BR133" s="373"/>
      <c r="BS133" s="373"/>
      <c r="BT133" s="373"/>
      <c r="BU133" s="373"/>
      <c r="BV133" s="373"/>
      <c r="BW133" s="373"/>
      <c r="BX133" s="373"/>
      <c r="BY133" s="373"/>
      <c r="BZ133" s="373"/>
      <c r="CA133" s="373"/>
      <c r="CB133" s="373"/>
      <c r="CC133" s="373"/>
      <c r="CD133" s="373"/>
      <c r="CE133" s="373"/>
      <c r="CF133" s="373"/>
      <c r="CG133" s="373"/>
      <c r="CH133" s="373"/>
      <c r="CI133" s="373"/>
      <c r="CJ133" s="373"/>
      <c r="CK133" s="373"/>
      <c r="CL133" s="373"/>
      <c r="CM133" s="373"/>
      <c r="CN133" s="373"/>
      <c r="CO133" s="373"/>
      <c r="CP133" s="373"/>
      <c r="CQ133" s="373"/>
      <c r="CR133" s="373"/>
      <c r="CS133" s="373"/>
      <c r="CT133" s="373"/>
      <c r="CU133" s="373"/>
      <c r="CV133" s="373"/>
      <c r="CW133" s="373"/>
      <c r="CX133" s="373"/>
      <c r="CY133" s="373"/>
      <c r="CZ133" s="373"/>
      <c r="DA133" s="373"/>
      <c r="DB133" s="373"/>
      <c r="DC133" s="373"/>
      <c r="DD133" s="373"/>
      <c r="DE133" s="373"/>
      <c r="DF133" s="373"/>
      <c r="DG133" s="373"/>
      <c r="DH133" s="373"/>
      <c r="DI133" s="373"/>
      <c r="DJ133" s="373"/>
      <c r="DK133" s="373"/>
      <c r="DL133" s="373"/>
      <c r="DM133" s="373"/>
      <c r="DN133" s="373"/>
      <c r="DO133" s="373"/>
      <c r="DP133" s="373"/>
      <c r="DQ133" s="373"/>
      <c r="DR133" s="373"/>
      <c r="DS133" s="373"/>
      <c r="DT133" s="373"/>
      <c r="DU133" s="373"/>
      <c r="DV133" s="373"/>
      <c r="DW133" s="373"/>
      <c r="DX133" s="373"/>
      <c r="DY133" s="373"/>
      <c r="DZ133" s="373"/>
      <c r="EA133" s="373"/>
      <c r="EB133" s="373"/>
      <c r="EC133" s="373"/>
      <c r="ED133" s="373"/>
      <c r="EE133" s="373"/>
      <c r="EF133" s="373"/>
      <c r="EG133" s="373"/>
      <c r="EH133" s="373"/>
      <c r="EI133" s="373"/>
      <c r="EJ133" s="373"/>
      <c r="EK133" s="373"/>
      <c r="EL133" s="373"/>
      <c r="EM133" s="373"/>
      <c r="EN133" s="373"/>
      <c r="EO133" s="373"/>
      <c r="EP133" s="373"/>
      <c r="EQ133" s="373"/>
      <c r="ER133" s="373"/>
      <c r="ES133" s="373"/>
      <c r="ET133" s="373"/>
      <c r="EU133" s="373"/>
      <c r="EV133" s="373"/>
      <c r="EW133" s="373"/>
      <c r="EX133" s="373"/>
      <c r="EY133" s="373"/>
      <c r="EZ133" s="373"/>
      <c r="FA133" s="373"/>
      <c r="FB133" s="373"/>
      <c r="FC133" s="373"/>
      <c r="FD133" s="373"/>
      <c r="FE133" s="373"/>
      <c r="FF133" s="373"/>
      <c r="FG133" s="373"/>
      <c r="FH133" s="373"/>
      <c r="FI133" s="373"/>
      <c r="FJ133" s="373"/>
      <c r="FK133" s="373"/>
      <c r="FL133" s="373"/>
      <c r="FM133" s="373"/>
      <c r="FN133" s="373"/>
      <c r="FO133" s="373"/>
      <c r="FP133" s="373"/>
      <c r="FQ133" s="373"/>
      <c r="FR133" s="373"/>
      <c r="FS133" s="373"/>
      <c r="FT133" s="373"/>
      <c r="FU133" s="373"/>
      <c r="FV133" s="373"/>
      <c r="FW133" s="373"/>
      <c r="FX133" s="373"/>
      <c r="FY133" s="373"/>
      <c r="FZ133" s="373"/>
      <c r="GA133" s="373"/>
      <c r="GB133" s="373"/>
      <c r="GC133" s="373"/>
      <c r="GD133" s="373"/>
      <c r="GE133" s="373"/>
      <c r="GF133" s="373"/>
      <c r="GG133" s="373"/>
      <c r="GH133" s="373"/>
      <c r="GI133" s="373"/>
      <c r="GJ133" s="373"/>
      <c r="GK133" s="373"/>
      <c r="GL133" s="373"/>
      <c r="GM133" s="373"/>
      <c r="GN133" s="373"/>
      <c r="GO133" s="373"/>
      <c r="GP133" s="373"/>
      <c r="GQ133" s="373"/>
      <c r="GR133" s="373"/>
      <c r="GS133" s="373"/>
      <c r="GT133" s="373"/>
      <c r="GU133" s="373"/>
      <c r="GV133" s="373"/>
      <c r="GW133" s="373"/>
      <c r="GX133" s="373"/>
      <c r="GY133" s="373"/>
      <c r="GZ133" s="373"/>
      <c r="HA133" s="373"/>
      <c r="HB133" s="373"/>
      <c r="HC133" s="373"/>
      <c r="HD133" s="373"/>
      <c r="HE133" s="373"/>
      <c r="HF133" s="373"/>
      <c r="HG133" s="373"/>
      <c r="HH133" s="373"/>
      <c r="HI133" s="373"/>
      <c r="HJ133" s="373"/>
      <c r="HK133" s="373"/>
      <c r="HL133" s="373"/>
      <c r="HM133" s="373"/>
      <c r="HN133" s="373"/>
      <c r="HO133" s="373"/>
      <c r="HP133" s="373"/>
      <c r="HQ133" s="373"/>
      <c r="HR133" s="373"/>
      <c r="HS133" s="373"/>
      <c r="HT133" s="373"/>
      <c r="HU133" s="373"/>
      <c r="HV133" s="373"/>
      <c r="HW133" s="373"/>
      <c r="HX133" s="373"/>
      <c r="HY133" s="373"/>
      <c r="HZ133" s="373"/>
      <c r="IA133" s="373"/>
      <c r="IB133" s="373"/>
      <c r="IC133" s="373"/>
      <c r="ID133" s="373"/>
      <c r="IE133" s="373"/>
      <c r="IF133" s="373"/>
      <c r="IG133" s="373"/>
      <c r="IH133" s="373"/>
      <c r="II133" s="373"/>
      <c r="IJ133" s="373"/>
      <c r="IK133" s="373"/>
      <c r="IL133" s="373"/>
      <c r="IM133" s="373"/>
      <c r="IN133" s="373"/>
      <c r="IO133" s="373"/>
      <c r="IP133" s="373"/>
      <c r="IQ133" s="373"/>
    </row>
    <row r="134" spans="1:251">
      <c r="A134" s="417"/>
      <c r="B134" s="391" t="s">
        <v>592</v>
      </c>
      <c r="C134" s="392" t="s">
        <v>421</v>
      </c>
      <c r="D134" s="392" t="s">
        <v>421</v>
      </c>
      <c r="E134" s="393" t="s">
        <v>421</v>
      </c>
      <c r="F134" s="368"/>
      <c r="G134" s="356">
        <f>H134+I134</f>
        <v>100</v>
      </c>
      <c r="H134" s="356">
        <v>100</v>
      </c>
      <c r="I134" s="356">
        <v>0</v>
      </c>
      <c r="J134" s="373"/>
      <c r="K134" s="373"/>
      <c r="L134" s="37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373"/>
      <c r="AA134" s="373"/>
      <c r="AB134" s="373"/>
      <c r="AC134" s="373"/>
      <c r="AD134" s="373"/>
      <c r="AE134" s="373"/>
      <c r="AF134" s="373"/>
      <c r="AG134" s="373"/>
      <c r="AH134" s="373"/>
      <c r="AI134" s="373"/>
      <c r="AJ134" s="373"/>
      <c r="AK134" s="373"/>
      <c r="AL134" s="373"/>
      <c r="AM134" s="373"/>
      <c r="AN134" s="373"/>
      <c r="AO134" s="373"/>
      <c r="AP134" s="373"/>
      <c r="AQ134" s="373"/>
      <c r="AR134" s="373"/>
      <c r="AS134" s="373"/>
      <c r="AT134" s="373"/>
      <c r="AU134" s="373"/>
      <c r="AV134" s="373"/>
      <c r="AW134" s="373"/>
      <c r="AX134" s="373"/>
      <c r="AY134" s="373"/>
      <c r="AZ134" s="373"/>
      <c r="BA134" s="373"/>
      <c r="BB134" s="373"/>
      <c r="BC134" s="373"/>
      <c r="BD134" s="373"/>
      <c r="BE134" s="373"/>
      <c r="BF134" s="373"/>
      <c r="BG134" s="373"/>
      <c r="BH134" s="373"/>
      <c r="BI134" s="373"/>
      <c r="BJ134" s="373"/>
      <c r="BK134" s="373"/>
      <c r="BL134" s="373"/>
      <c r="BM134" s="373"/>
      <c r="BN134" s="373"/>
      <c r="BO134" s="373"/>
      <c r="BP134" s="373"/>
      <c r="BQ134" s="373"/>
      <c r="BR134" s="373"/>
      <c r="BS134" s="373"/>
      <c r="BT134" s="373"/>
      <c r="BU134" s="373"/>
      <c r="BV134" s="373"/>
      <c r="BW134" s="373"/>
      <c r="BX134" s="373"/>
      <c r="BY134" s="373"/>
      <c r="BZ134" s="373"/>
      <c r="CA134" s="373"/>
      <c r="CB134" s="373"/>
      <c r="CC134" s="373"/>
      <c r="CD134" s="373"/>
      <c r="CE134" s="373"/>
      <c r="CF134" s="373"/>
      <c r="CG134" s="373"/>
      <c r="CH134" s="373"/>
      <c r="CI134" s="373"/>
      <c r="CJ134" s="373"/>
      <c r="CK134" s="373"/>
      <c r="CL134" s="373"/>
      <c r="CM134" s="373"/>
      <c r="CN134" s="373"/>
      <c r="CO134" s="373"/>
      <c r="CP134" s="373"/>
      <c r="CQ134" s="373"/>
      <c r="CR134" s="373"/>
      <c r="CS134" s="373"/>
      <c r="CT134" s="373"/>
      <c r="CU134" s="373"/>
      <c r="CV134" s="373"/>
      <c r="CW134" s="373"/>
      <c r="CX134" s="373"/>
      <c r="CY134" s="373"/>
      <c r="CZ134" s="373"/>
      <c r="DA134" s="373"/>
      <c r="DB134" s="373"/>
      <c r="DC134" s="373"/>
      <c r="DD134" s="373"/>
      <c r="DE134" s="373"/>
      <c r="DF134" s="373"/>
      <c r="DG134" s="373"/>
      <c r="DH134" s="373"/>
      <c r="DI134" s="373"/>
      <c r="DJ134" s="373"/>
      <c r="DK134" s="373"/>
      <c r="DL134" s="373"/>
      <c r="DM134" s="373"/>
      <c r="DN134" s="373"/>
      <c r="DO134" s="373"/>
      <c r="DP134" s="373"/>
      <c r="DQ134" s="373"/>
      <c r="DR134" s="373"/>
      <c r="DS134" s="373"/>
      <c r="DT134" s="373"/>
      <c r="DU134" s="373"/>
      <c r="DV134" s="373"/>
      <c r="DW134" s="373"/>
      <c r="DX134" s="373"/>
      <c r="DY134" s="373"/>
      <c r="DZ134" s="373"/>
      <c r="EA134" s="373"/>
      <c r="EB134" s="373"/>
      <c r="EC134" s="373"/>
      <c r="ED134" s="373"/>
      <c r="EE134" s="373"/>
      <c r="EF134" s="373"/>
      <c r="EG134" s="373"/>
      <c r="EH134" s="373"/>
      <c r="EI134" s="373"/>
      <c r="EJ134" s="373"/>
      <c r="EK134" s="373"/>
      <c r="EL134" s="373"/>
      <c r="EM134" s="373"/>
      <c r="EN134" s="373"/>
      <c r="EO134" s="373"/>
      <c r="EP134" s="373"/>
      <c r="EQ134" s="373"/>
      <c r="ER134" s="373"/>
      <c r="ES134" s="373"/>
      <c r="ET134" s="373"/>
      <c r="EU134" s="373"/>
      <c r="EV134" s="373"/>
      <c r="EW134" s="373"/>
      <c r="EX134" s="373"/>
      <c r="EY134" s="373"/>
      <c r="EZ134" s="373"/>
      <c r="FA134" s="373"/>
      <c r="FB134" s="373"/>
      <c r="FC134" s="373"/>
      <c r="FD134" s="373"/>
      <c r="FE134" s="373"/>
      <c r="FF134" s="373"/>
      <c r="FG134" s="373"/>
      <c r="FH134" s="373"/>
      <c r="FI134" s="373"/>
      <c r="FJ134" s="373"/>
      <c r="FK134" s="373"/>
      <c r="FL134" s="373"/>
      <c r="FM134" s="373"/>
      <c r="FN134" s="373"/>
      <c r="FO134" s="373"/>
      <c r="FP134" s="373"/>
      <c r="FQ134" s="373"/>
      <c r="FR134" s="373"/>
      <c r="FS134" s="373"/>
      <c r="FT134" s="373"/>
      <c r="FU134" s="373"/>
      <c r="FV134" s="373"/>
      <c r="FW134" s="373"/>
      <c r="FX134" s="373"/>
      <c r="FY134" s="373"/>
      <c r="FZ134" s="373"/>
      <c r="GA134" s="373"/>
      <c r="GB134" s="373"/>
      <c r="GC134" s="373"/>
      <c r="GD134" s="373"/>
      <c r="GE134" s="373"/>
      <c r="GF134" s="373"/>
      <c r="GG134" s="373"/>
      <c r="GH134" s="373"/>
      <c r="GI134" s="373"/>
      <c r="GJ134" s="373"/>
      <c r="GK134" s="373"/>
      <c r="GL134" s="373"/>
      <c r="GM134" s="373"/>
      <c r="GN134" s="373"/>
      <c r="GO134" s="373"/>
      <c r="GP134" s="373"/>
      <c r="GQ134" s="373"/>
      <c r="GR134" s="373"/>
      <c r="GS134" s="373"/>
      <c r="GT134" s="373"/>
      <c r="GU134" s="373"/>
      <c r="GV134" s="373"/>
      <c r="GW134" s="373"/>
      <c r="GX134" s="373"/>
      <c r="GY134" s="373"/>
      <c r="GZ134" s="373"/>
      <c r="HA134" s="373"/>
      <c r="HB134" s="373"/>
      <c r="HC134" s="373"/>
      <c r="HD134" s="373"/>
      <c r="HE134" s="373"/>
      <c r="HF134" s="373"/>
      <c r="HG134" s="373"/>
      <c r="HH134" s="373"/>
      <c r="HI134" s="373"/>
      <c r="HJ134" s="373"/>
      <c r="HK134" s="373"/>
      <c r="HL134" s="373"/>
      <c r="HM134" s="373"/>
      <c r="HN134" s="373"/>
      <c r="HO134" s="373"/>
      <c r="HP134" s="373"/>
      <c r="HQ134" s="373"/>
      <c r="HR134" s="373"/>
      <c r="HS134" s="373"/>
      <c r="HT134" s="373"/>
      <c r="HU134" s="373"/>
      <c r="HV134" s="373"/>
      <c r="HW134" s="373"/>
      <c r="HX134" s="373"/>
      <c r="HY134" s="373"/>
      <c r="HZ134" s="373"/>
      <c r="IA134" s="373"/>
      <c r="IB134" s="373"/>
      <c r="IC134" s="373"/>
      <c r="ID134" s="373"/>
      <c r="IE134" s="373"/>
      <c r="IF134" s="373"/>
      <c r="IG134" s="373"/>
      <c r="IH134" s="373"/>
      <c r="II134" s="373"/>
      <c r="IJ134" s="373"/>
      <c r="IK134" s="373"/>
      <c r="IL134" s="373"/>
      <c r="IM134" s="373"/>
      <c r="IN134" s="373"/>
      <c r="IO134" s="373"/>
      <c r="IP134" s="373"/>
      <c r="IQ134" s="373"/>
    </row>
    <row r="135" spans="1:251" ht="9.9499999999999993" customHeight="1">
      <c r="A135" s="417"/>
      <c r="B135" s="403"/>
      <c r="C135" s="403"/>
      <c r="D135" s="403"/>
      <c r="E135" s="404"/>
      <c r="F135" s="368"/>
      <c r="G135" s="356"/>
      <c r="H135" s="356"/>
      <c r="I135" s="356"/>
      <c r="J135" s="373"/>
      <c r="K135" s="373"/>
      <c r="L135" s="37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73"/>
      <c r="AG135" s="373"/>
      <c r="AH135" s="373"/>
      <c r="AI135" s="373"/>
      <c r="AJ135" s="373"/>
      <c r="AK135" s="373"/>
      <c r="AL135" s="373"/>
      <c r="AM135" s="373"/>
      <c r="AN135" s="373"/>
      <c r="AO135" s="373"/>
      <c r="AP135" s="373"/>
      <c r="AQ135" s="373"/>
      <c r="AR135" s="373"/>
      <c r="AS135" s="373"/>
      <c r="AT135" s="373"/>
      <c r="AU135" s="373"/>
      <c r="AV135" s="373"/>
      <c r="AW135" s="373"/>
      <c r="AX135" s="373"/>
      <c r="AY135" s="373"/>
      <c r="AZ135" s="373"/>
      <c r="BA135" s="373"/>
      <c r="BB135" s="373"/>
      <c r="BC135" s="373"/>
      <c r="BD135" s="373"/>
      <c r="BE135" s="373"/>
      <c r="BF135" s="373"/>
      <c r="BG135" s="373"/>
      <c r="BH135" s="373"/>
      <c r="BI135" s="373"/>
      <c r="BJ135" s="373"/>
      <c r="BK135" s="373"/>
      <c r="BL135" s="373"/>
      <c r="BM135" s="373"/>
      <c r="BN135" s="373"/>
      <c r="BO135" s="373"/>
      <c r="BP135" s="373"/>
      <c r="BQ135" s="373"/>
      <c r="BR135" s="373"/>
      <c r="BS135" s="373"/>
      <c r="BT135" s="373"/>
      <c r="BU135" s="373"/>
      <c r="BV135" s="373"/>
      <c r="BW135" s="373"/>
      <c r="BX135" s="373"/>
      <c r="BY135" s="373"/>
      <c r="BZ135" s="373"/>
      <c r="CA135" s="373"/>
      <c r="CB135" s="373"/>
      <c r="CC135" s="373"/>
      <c r="CD135" s="373"/>
      <c r="CE135" s="373"/>
      <c r="CF135" s="373"/>
      <c r="CG135" s="373"/>
      <c r="CH135" s="373"/>
      <c r="CI135" s="373"/>
      <c r="CJ135" s="373"/>
      <c r="CK135" s="373"/>
      <c r="CL135" s="373"/>
      <c r="CM135" s="373"/>
      <c r="CN135" s="373"/>
      <c r="CO135" s="373"/>
      <c r="CP135" s="373"/>
      <c r="CQ135" s="373"/>
      <c r="CR135" s="373"/>
      <c r="CS135" s="373"/>
      <c r="CT135" s="373"/>
      <c r="CU135" s="373"/>
      <c r="CV135" s="373"/>
      <c r="CW135" s="373"/>
      <c r="CX135" s="373"/>
      <c r="CY135" s="373"/>
      <c r="CZ135" s="373"/>
      <c r="DA135" s="373"/>
      <c r="DB135" s="373"/>
      <c r="DC135" s="373"/>
      <c r="DD135" s="373"/>
      <c r="DE135" s="373"/>
      <c r="DF135" s="373"/>
      <c r="DG135" s="373"/>
      <c r="DH135" s="373"/>
      <c r="DI135" s="373"/>
      <c r="DJ135" s="373"/>
      <c r="DK135" s="373"/>
      <c r="DL135" s="373"/>
      <c r="DM135" s="373"/>
      <c r="DN135" s="373"/>
      <c r="DO135" s="373"/>
      <c r="DP135" s="373"/>
      <c r="DQ135" s="373"/>
      <c r="DR135" s="373"/>
      <c r="DS135" s="373"/>
      <c r="DT135" s="373"/>
      <c r="DU135" s="373"/>
      <c r="DV135" s="373"/>
      <c r="DW135" s="373"/>
      <c r="DX135" s="373"/>
      <c r="DY135" s="373"/>
      <c r="DZ135" s="373"/>
      <c r="EA135" s="373"/>
      <c r="EB135" s="373"/>
      <c r="EC135" s="373"/>
      <c r="ED135" s="373"/>
      <c r="EE135" s="373"/>
      <c r="EF135" s="373"/>
      <c r="EG135" s="373"/>
      <c r="EH135" s="373"/>
      <c r="EI135" s="373"/>
      <c r="EJ135" s="373"/>
      <c r="EK135" s="373"/>
      <c r="EL135" s="373"/>
      <c r="EM135" s="373"/>
      <c r="EN135" s="373"/>
      <c r="EO135" s="373"/>
      <c r="EP135" s="373"/>
      <c r="EQ135" s="373"/>
      <c r="ER135" s="373"/>
      <c r="ES135" s="373"/>
      <c r="ET135" s="373"/>
      <c r="EU135" s="373"/>
      <c r="EV135" s="373"/>
      <c r="EW135" s="373"/>
      <c r="EX135" s="373"/>
      <c r="EY135" s="373"/>
      <c r="EZ135" s="373"/>
      <c r="FA135" s="373"/>
      <c r="FB135" s="373"/>
      <c r="FC135" s="373"/>
      <c r="FD135" s="373"/>
      <c r="FE135" s="373"/>
      <c r="FF135" s="373"/>
      <c r="FG135" s="373"/>
      <c r="FH135" s="373"/>
      <c r="FI135" s="373"/>
      <c r="FJ135" s="373"/>
      <c r="FK135" s="373"/>
      <c r="FL135" s="373"/>
      <c r="FM135" s="373"/>
      <c r="FN135" s="373"/>
      <c r="FO135" s="373"/>
      <c r="FP135" s="373"/>
      <c r="FQ135" s="373"/>
      <c r="FR135" s="373"/>
      <c r="FS135" s="373"/>
      <c r="FT135" s="373"/>
      <c r="FU135" s="373"/>
      <c r="FV135" s="373"/>
      <c r="FW135" s="373"/>
      <c r="FX135" s="373"/>
      <c r="FY135" s="373"/>
      <c r="FZ135" s="373"/>
      <c r="GA135" s="373"/>
      <c r="GB135" s="373"/>
      <c r="GC135" s="373"/>
      <c r="GD135" s="373"/>
      <c r="GE135" s="373"/>
      <c r="GF135" s="373"/>
      <c r="GG135" s="373"/>
      <c r="GH135" s="373"/>
      <c r="GI135" s="373"/>
      <c r="GJ135" s="373"/>
      <c r="GK135" s="373"/>
      <c r="GL135" s="373"/>
      <c r="GM135" s="373"/>
      <c r="GN135" s="373"/>
      <c r="GO135" s="373"/>
      <c r="GP135" s="373"/>
      <c r="GQ135" s="373"/>
      <c r="GR135" s="373"/>
      <c r="GS135" s="373"/>
      <c r="GT135" s="373"/>
      <c r="GU135" s="373"/>
      <c r="GV135" s="373"/>
      <c r="GW135" s="373"/>
      <c r="GX135" s="373"/>
      <c r="GY135" s="373"/>
      <c r="GZ135" s="373"/>
      <c r="HA135" s="373"/>
      <c r="HB135" s="373"/>
      <c r="HC135" s="373"/>
      <c r="HD135" s="373"/>
      <c r="HE135" s="373"/>
      <c r="HF135" s="373"/>
      <c r="HG135" s="373"/>
      <c r="HH135" s="373"/>
      <c r="HI135" s="373"/>
      <c r="HJ135" s="373"/>
      <c r="HK135" s="373"/>
      <c r="HL135" s="373"/>
      <c r="HM135" s="373"/>
      <c r="HN135" s="373"/>
      <c r="HO135" s="373"/>
      <c r="HP135" s="373"/>
      <c r="HQ135" s="373"/>
      <c r="HR135" s="373"/>
      <c r="HS135" s="373"/>
      <c r="HT135" s="373"/>
      <c r="HU135" s="373"/>
      <c r="HV135" s="373"/>
      <c r="HW135" s="373"/>
      <c r="HX135" s="373"/>
      <c r="HY135" s="373"/>
      <c r="HZ135" s="373"/>
      <c r="IA135" s="373"/>
      <c r="IB135" s="373"/>
      <c r="IC135" s="373"/>
      <c r="ID135" s="373"/>
      <c r="IE135" s="373"/>
      <c r="IF135" s="373"/>
      <c r="IG135" s="373"/>
      <c r="IH135" s="373"/>
      <c r="II135" s="373"/>
      <c r="IJ135" s="373"/>
      <c r="IK135" s="373"/>
      <c r="IL135" s="373"/>
      <c r="IM135" s="373"/>
      <c r="IN135" s="373"/>
      <c r="IO135" s="373"/>
      <c r="IP135" s="373"/>
      <c r="IQ135" s="373"/>
    </row>
    <row r="136" spans="1:251" ht="15">
      <c r="A136" s="280" t="s">
        <v>52</v>
      </c>
      <c r="B136" s="362" t="s">
        <v>53</v>
      </c>
      <c r="C136" s="283">
        <f>C138</f>
        <v>3735000</v>
      </c>
      <c r="D136" s="283">
        <f>D138</f>
        <v>3735000</v>
      </c>
      <c r="E136" s="363">
        <f>E138</f>
        <v>0</v>
      </c>
      <c r="F136" s="360"/>
      <c r="G136" s="283">
        <f>G138</f>
        <v>3735000</v>
      </c>
      <c r="H136" s="283">
        <f>H138</f>
        <v>3735000</v>
      </c>
      <c r="I136" s="283">
        <f>I138</f>
        <v>0</v>
      </c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  <c r="AB136" s="285"/>
      <c r="AC136" s="285"/>
      <c r="AD136" s="285"/>
      <c r="AE136" s="285"/>
      <c r="AF136" s="285"/>
      <c r="AG136" s="285"/>
      <c r="AH136" s="285"/>
      <c r="AI136" s="285"/>
      <c r="AJ136" s="285"/>
      <c r="AK136" s="285"/>
      <c r="AL136" s="285"/>
      <c r="AM136" s="285"/>
      <c r="AN136" s="285"/>
      <c r="AO136" s="285"/>
      <c r="AP136" s="285"/>
      <c r="AQ136" s="285"/>
      <c r="AR136" s="285"/>
      <c r="AS136" s="285"/>
      <c r="AT136" s="285"/>
      <c r="AU136" s="285"/>
      <c r="AV136" s="285"/>
      <c r="AW136" s="285"/>
      <c r="AX136" s="285"/>
      <c r="AY136" s="285"/>
      <c r="AZ136" s="285"/>
      <c r="BA136" s="285"/>
      <c r="BB136" s="285"/>
      <c r="BC136" s="285"/>
      <c r="BD136" s="285"/>
      <c r="BE136" s="285"/>
      <c r="BF136" s="285"/>
      <c r="BG136" s="285"/>
      <c r="BH136" s="285"/>
      <c r="BI136" s="285"/>
      <c r="BJ136" s="285"/>
      <c r="BK136" s="285"/>
      <c r="BL136" s="285"/>
      <c r="BM136" s="285"/>
      <c r="BN136" s="285"/>
      <c r="BO136" s="285"/>
      <c r="BP136" s="285"/>
      <c r="BQ136" s="285"/>
      <c r="BR136" s="285"/>
      <c r="BS136" s="285"/>
      <c r="BT136" s="285"/>
      <c r="BU136" s="285"/>
      <c r="BV136" s="285"/>
      <c r="BW136" s="285"/>
      <c r="BX136" s="285"/>
      <c r="BY136" s="285"/>
      <c r="BZ136" s="285"/>
      <c r="CA136" s="285"/>
      <c r="CB136" s="285"/>
      <c r="CC136" s="285"/>
      <c r="CD136" s="285"/>
      <c r="CE136" s="285"/>
      <c r="CF136" s="285"/>
      <c r="CG136" s="285"/>
      <c r="CH136" s="285"/>
      <c r="CI136" s="285"/>
      <c r="CJ136" s="285"/>
      <c r="CK136" s="285"/>
      <c r="CL136" s="285"/>
      <c r="CM136" s="285"/>
      <c r="CN136" s="285"/>
      <c r="CO136" s="285"/>
      <c r="CP136" s="285"/>
      <c r="CQ136" s="285"/>
      <c r="CR136" s="285"/>
      <c r="CS136" s="285"/>
      <c r="CT136" s="285"/>
      <c r="CU136" s="285"/>
      <c r="CV136" s="285"/>
      <c r="CW136" s="285"/>
      <c r="CX136" s="285"/>
      <c r="CY136" s="285"/>
      <c r="CZ136" s="285"/>
      <c r="DA136" s="285"/>
      <c r="DB136" s="285"/>
      <c r="DC136" s="285"/>
      <c r="DD136" s="285"/>
      <c r="DE136" s="285"/>
      <c r="DF136" s="285"/>
      <c r="DG136" s="285"/>
      <c r="DH136" s="285"/>
      <c r="DI136" s="285"/>
      <c r="DJ136" s="285"/>
      <c r="DK136" s="285"/>
      <c r="DL136" s="285"/>
      <c r="DM136" s="285"/>
      <c r="DN136" s="285"/>
      <c r="DO136" s="285"/>
      <c r="DP136" s="285"/>
      <c r="DQ136" s="285"/>
      <c r="DR136" s="285"/>
      <c r="DS136" s="285"/>
      <c r="DT136" s="285"/>
      <c r="DU136" s="285"/>
      <c r="DV136" s="285"/>
      <c r="DW136" s="285"/>
      <c r="DX136" s="285"/>
      <c r="DY136" s="285"/>
      <c r="DZ136" s="285"/>
      <c r="EA136" s="285"/>
      <c r="EB136" s="285"/>
      <c r="EC136" s="285"/>
      <c r="ED136" s="285"/>
      <c r="EE136" s="285"/>
      <c r="EF136" s="285"/>
      <c r="EG136" s="285"/>
      <c r="EH136" s="285"/>
      <c r="EI136" s="285"/>
      <c r="EJ136" s="285"/>
      <c r="EK136" s="285"/>
      <c r="EL136" s="285"/>
      <c r="EM136" s="285"/>
      <c r="EN136" s="285"/>
      <c r="EO136" s="285"/>
      <c r="EP136" s="285"/>
      <c r="EQ136" s="285"/>
      <c r="ER136" s="285"/>
      <c r="ES136" s="285"/>
      <c r="ET136" s="285"/>
      <c r="EU136" s="285"/>
      <c r="EV136" s="285"/>
      <c r="EW136" s="285"/>
      <c r="EX136" s="285"/>
      <c r="EY136" s="285"/>
      <c r="EZ136" s="285"/>
      <c r="FA136" s="285"/>
      <c r="FB136" s="285"/>
      <c r="FC136" s="285"/>
      <c r="FD136" s="285"/>
      <c r="FE136" s="285"/>
      <c r="FF136" s="285"/>
      <c r="FG136" s="285"/>
      <c r="FH136" s="285"/>
      <c r="FI136" s="285"/>
      <c r="FJ136" s="285"/>
      <c r="FK136" s="285"/>
      <c r="FL136" s="285"/>
      <c r="FM136" s="285"/>
      <c r="FN136" s="285"/>
      <c r="FO136" s="285"/>
      <c r="FP136" s="285"/>
      <c r="FQ136" s="285"/>
      <c r="FR136" s="285"/>
      <c r="FS136" s="285"/>
      <c r="FT136" s="285"/>
      <c r="FU136" s="285"/>
      <c r="FV136" s="285"/>
      <c r="FW136" s="285"/>
      <c r="FX136" s="285"/>
      <c r="FY136" s="285"/>
      <c r="FZ136" s="285"/>
      <c r="GA136" s="285"/>
      <c r="GB136" s="285"/>
      <c r="GC136" s="285"/>
      <c r="GD136" s="285"/>
      <c r="GE136" s="285"/>
      <c r="GF136" s="285"/>
      <c r="GG136" s="285"/>
      <c r="GH136" s="285"/>
      <c r="GI136" s="285"/>
      <c r="GJ136" s="285"/>
      <c r="GK136" s="285"/>
      <c r="GL136" s="285"/>
      <c r="GM136" s="285"/>
      <c r="GN136" s="285"/>
      <c r="GO136" s="285"/>
      <c r="GP136" s="285"/>
      <c r="GQ136" s="285"/>
      <c r="GR136" s="285"/>
      <c r="GS136" s="285"/>
      <c r="GT136" s="285"/>
      <c r="GU136" s="285"/>
      <c r="GV136" s="285"/>
      <c r="GW136" s="285"/>
      <c r="GX136" s="285"/>
      <c r="GY136" s="285"/>
      <c r="GZ136" s="285"/>
      <c r="HA136" s="285"/>
      <c r="HB136" s="285"/>
      <c r="HC136" s="285"/>
      <c r="HD136" s="285"/>
      <c r="HE136" s="285"/>
      <c r="HF136" s="285"/>
      <c r="HG136" s="285"/>
      <c r="HH136" s="285"/>
      <c r="HI136" s="285"/>
      <c r="HJ136" s="285"/>
      <c r="HK136" s="285"/>
      <c r="HL136" s="285"/>
      <c r="HM136" s="285"/>
      <c r="HN136" s="285"/>
      <c r="HO136" s="285"/>
      <c r="HP136" s="285"/>
      <c r="HQ136" s="285"/>
      <c r="HR136" s="285"/>
      <c r="HS136" s="285"/>
      <c r="HT136" s="285"/>
      <c r="HU136" s="285"/>
      <c r="HV136" s="285"/>
      <c r="HW136" s="285"/>
      <c r="HX136" s="285"/>
      <c r="HY136" s="285"/>
      <c r="HZ136" s="285"/>
      <c r="IA136" s="285"/>
      <c r="IB136" s="285"/>
      <c r="IC136" s="285"/>
      <c r="ID136" s="285"/>
      <c r="IE136" s="285"/>
      <c r="IF136" s="285"/>
      <c r="IG136" s="285"/>
      <c r="IH136" s="285"/>
      <c r="II136" s="285"/>
      <c r="IJ136" s="285"/>
      <c r="IK136" s="285"/>
      <c r="IL136" s="285"/>
      <c r="IM136" s="285"/>
      <c r="IN136" s="285"/>
      <c r="IO136" s="285"/>
      <c r="IP136" s="285"/>
      <c r="IQ136" s="285"/>
    </row>
    <row r="137" spans="1:251" ht="9.9499999999999993" customHeight="1">
      <c r="A137" s="364"/>
      <c r="B137" s="365"/>
      <c r="C137" s="394"/>
      <c r="D137" s="394"/>
      <c r="E137" s="395"/>
      <c r="F137" s="368"/>
      <c r="G137" s="356"/>
      <c r="H137" s="356"/>
      <c r="I137" s="356"/>
    </row>
    <row r="138" spans="1:251">
      <c r="A138" s="369" t="s">
        <v>607</v>
      </c>
      <c r="B138" s="370" t="s">
        <v>54</v>
      </c>
      <c r="C138" s="371">
        <f>C140+C146</f>
        <v>3735000</v>
      </c>
      <c r="D138" s="371">
        <f>D140+D146</f>
        <v>3735000</v>
      </c>
      <c r="E138" s="372">
        <f>E140+E146</f>
        <v>0</v>
      </c>
      <c r="F138" s="368"/>
      <c r="G138" s="371">
        <f>G140+G146</f>
        <v>3735000</v>
      </c>
      <c r="H138" s="371">
        <f>H140+H146</f>
        <v>3735000</v>
      </c>
      <c r="I138" s="371">
        <f>I140+I146</f>
        <v>0</v>
      </c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3"/>
      <c r="AN138" s="373"/>
      <c r="AO138" s="373"/>
      <c r="AP138" s="373"/>
      <c r="AQ138" s="373"/>
      <c r="AR138" s="373"/>
      <c r="AS138" s="373"/>
      <c r="AT138" s="373"/>
      <c r="AU138" s="373"/>
      <c r="AV138" s="373"/>
      <c r="AW138" s="373"/>
      <c r="AX138" s="373"/>
      <c r="AY138" s="373"/>
      <c r="AZ138" s="373"/>
      <c r="BA138" s="373"/>
      <c r="BB138" s="373"/>
      <c r="BC138" s="373"/>
      <c r="BD138" s="373"/>
      <c r="BE138" s="373"/>
      <c r="BF138" s="373"/>
      <c r="BG138" s="373"/>
      <c r="BH138" s="373"/>
      <c r="BI138" s="373"/>
      <c r="BJ138" s="373"/>
      <c r="BK138" s="373"/>
      <c r="BL138" s="373"/>
      <c r="BM138" s="373"/>
      <c r="BN138" s="373"/>
      <c r="BO138" s="373"/>
      <c r="BP138" s="373"/>
      <c r="BQ138" s="373"/>
      <c r="BR138" s="373"/>
      <c r="BS138" s="373"/>
      <c r="BT138" s="373"/>
      <c r="BU138" s="373"/>
      <c r="BV138" s="373"/>
      <c r="BW138" s="373"/>
      <c r="BX138" s="373"/>
      <c r="BY138" s="373"/>
      <c r="BZ138" s="373"/>
      <c r="CA138" s="373"/>
      <c r="CB138" s="373"/>
      <c r="CC138" s="373"/>
      <c r="CD138" s="373"/>
      <c r="CE138" s="373"/>
      <c r="CF138" s="373"/>
      <c r="CG138" s="373"/>
      <c r="CH138" s="373"/>
      <c r="CI138" s="373"/>
      <c r="CJ138" s="373"/>
      <c r="CK138" s="373"/>
      <c r="CL138" s="373"/>
      <c r="CM138" s="373"/>
      <c r="CN138" s="373"/>
      <c r="CO138" s="373"/>
      <c r="CP138" s="373"/>
      <c r="CQ138" s="373"/>
      <c r="CR138" s="373"/>
      <c r="CS138" s="373"/>
      <c r="CT138" s="373"/>
      <c r="CU138" s="373"/>
      <c r="CV138" s="373"/>
      <c r="CW138" s="373"/>
      <c r="CX138" s="373"/>
      <c r="CY138" s="373"/>
      <c r="CZ138" s="373"/>
      <c r="DA138" s="373"/>
      <c r="DB138" s="373"/>
      <c r="DC138" s="373"/>
      <c r="DD138" s="373"/>
      <c r="DE138" s="373"/>
      <c r="DF138" s="373"/>
      <c r="DG138" s="373"/>
      <c r="DH138" s="373"/>
      <c r="DI138" s="373"/>
      <c r="DJ138" s="373"/>
      <c r="DK138" s="373"/>
      <c r="DL138" s="373"/>
      <c r="DM138" s="373"/>
      <c r="DN138" s="373"/>
      <c r="DO138" s="373"/>
      <c r="DP138" s="373"/>
      <c r="DQ138" s="373"/>
      <c r="DR138" s="373"/>
      <c r="DS138" s="373"/>
      <c r="DT138" s="373"/>
      <c r="DU138" s="373"/>
      <c r="DV138" s="373"/>
      <c r="DW138" s="373"/>
      <c r="DX138" s="373"/>
      <c r="DY138" s="373"/>
      <c r="DZ138" s="373"/>
      <c r="EA138" s="373"/>
      <c r="EB138" s="373"/>
      <c r="EC138" s="373"/>
      <c r="ED138" s="373"/>
      <c r="EE138" s="373"/>
      <c r="EF138" s="373"/>
      <c r="EG138" s="373"/>
      <c r="EH138" s="373"/>
      <c r="EI138" s="373"/>
      <c r="EJ138" s="373"/>
      <c r="EK138" s="373"/>
      <c r="EL138" s="373"/>
      <c r="EM138" s="373"/>
      <c r="EN138" s="373"/>
      <c r="EO138" s="373"/>
      <c r="EP138" s="373"/>
      <c r="EQ138" s="373"/>
      <c r="ER138" s="373"/>
      <c r="ES138" s="373"/>
      <c r="ET138" s="373"/>
      <c r="EU138" s="373"/>
      <c r="EV138" s="373"/>
      <c r="EW138" s="373"/>
      <c r="EX138" s="373"/>
      <c r="EY138" s="373"/>
      <c r="EZ138" s="373"/>
      <c r="FA138" s="373"/>
      <c r="FB138" s="373"/>
      <c r="FC138" s="373"/>
      <c r="FD138" s="373"/>
      <c r="FE138" s="373"/>
      <c r="FF138" s="373"/>
      <c r="FG138" s="373"/>
      <c r="FH138" s="373"/>
      <c r="FI138" s="373"/>
      <c r="FJ138" s="373"/>
      <c r="FK138" s="373"/>
      <c r="FL138" s="373"/>
      <c r="FM138" s="373"/>
      <c r="FN138" s="373"/>
      <c r="FO138" s="373"/>
      <c r="FP138" s="373"/>
      <c r="FQ138" s="373"/>
      <c r="FR138" s="373"/>
      <c r="FS138" s="373"/>
      <c r="FT138" s="373"/>
      <c r="FU138" s="373"/>
      <c r="FV138" s="373"/>
      <c r="FW138" s="373"/>
      <c r="FX138" s="373"/>
      <c r="FY138" s="373"/>
      <c r="FZ138" s="373"/>
      <c r="GA138" s="373"/>
      <c r="GB138" s="373"/>
      <c r="GC138" s="373"/>
      <c r="GD138" s="373"/>
      <c r="GE138" s="373"/>
      <c r="GF138" s="373"/>
      <c r="GG138" s="373"/>
      <c r="GH138" s="373"/>
      <c r="GI138" s="373"/>
      <c r="GJ138" s="373"/>
      <c r="GK138" s="373"/>
      <c r="GL138" s="373"/>
      <c r="GM138" s="373"/>
      <c r="GN138" s="373"/>
      <c r="GO138" s="373"/>
      <c r="GP138" s="373"/>
      <c r="GQ138" s="373"/>
      <c r="GR138" s="373"/>
      <c r="GS138" s="373"/>
      <c r="GT138" s="373"/>
      <c r="GU138" s="373"/>
      <c r="GV138" s="373"/>
      <c r="GW138" s="373"/>
      <c r="GX138" s="373"/>
      <c r="GY138" s="373"/>
      <c r="GZ138" s="373"/>
      <c r="HA138" s="373"/>
      <c r="HB138" s="373"/>
      <c r="HC138" s="373"/>
      <c r="HD138" s="373"/>
      <c r="HE138" s="373"/>
      <c r="HF138" s="373"/>
      <c r="HG138" s="373"/>
      <c r="HH138" s="373"/>
      <c r="HI138" s="373"/>
      <c r="HJ138" s="373"/>
      <c r="HK138" s="373"/>
      <c r="HL138" s="373"/>
      <c r="HM138" s="373"/>
      <c r="HN138" s="373"/>
      <c r="HO138" s="373"/>
      <c r="HP138" s="373"/>
      <c r="HQ138" s="373"/>
      <c r="HR138" s="373"/>
      <c r="HS138" s="373"/>
      <c r="HT138" s="373"/>
      <c r="HU138" s="373"/>
      <c r="HV138" s="373"/>
      <c r="HW138" s="373"/>
      <c r="HX138" s="373"/>
      <c r="HY138" s="373"/>
      <c r="HZ138" s="373"/>
      <c r="IA138" s="373"/>
      <c r="IB138" s="373"/>
      <c r="IC138" s="373"/>
      <c r="ID138" s="373"/>
      <c r="IE138" s="373"/>
      <c r="IF138" s="373"/>
      <c r="IG138" s="373"/>
      <c r="IH138" s="373"/>
      <c r="II138" s="373"/>
      <c r="IJ138" s="373"/>
      <c r="IK138" s="373"/>
      <c r="IL138" s="373"/>
      <c r="IM138" s="373"/>
      <c r="IN138" s="373"/>
      <c r="IO138" s="373"/>
      <c r="IP138" s="373"/>
      <c r="IQ138" s="373"/>
    </row>
    <row r="139" spans="1:251" ht="9.9499999999999993" customHeight="1">
      <c r="A139" s="374"/>
      <c r="B139" s="375"/>
      <c r="C139" s="396"/>
      <c r="D139" s="396"/>
      <c r="E139" s="397"/>
      <c r="F139" s="368"/>
      <c r="G139" s="356"/>
      <c r="H139" s="356"/>
      <c r="I139" s="356"/>
    </row>
    <row r="140" spans="1:251" ht="28.9" customHeight="1">
      <c r="A140" s="1099" t="s">
        <v>608</v>
      </c>
      <c r="B140" s="1099"/>
      <c r="C140" s="378">
        <f>C142</f>
        <v>430000</v>
      </c>
      <c r="D140" s="378">
        <f>D142</f>
        <v>430000</v>
      </c>
      <c r="E140" s="379">
        <f>E142</f>
        <v>0</v>
      </c>
      <c r="F140" s="368"/>
      <c r="G140" s="378">
        <f>G144</f>
        <v>430000</v>
      </c>
      <c r="H140" s="378">
        <f>H144</f>
        <v>430000</v>
      </c>
      <c r="I140" s="378">
        <f>I144</f>
        <v>0</v>
      </c>
      <c r="J140" s="377"/>
      <c r="K140" s="377"/>
      <c r="L140" s="377"/>
      <c r="M140" s="377"/>
      <c r="N140" s="377"/>
      <c r="O140" s="377"/>
      <c r="P140" s="377"/>
      <c r="Q140" s="377"/>
      <c r="R140" s="377"/>
      <c r="S140" s="377"/>
      <c r="T140" s="377"/>
      <c r="U140" s="377"/>
      <c r="V140" s="377"/>
      <c r="W140" s="377"/>
      <c r="X140" s="377"/>
      <c r="Y140" s="377"/>
      <c r="Z140" s="377"/>
      <c r="AA140" s="377"/>
      <c r="AB140" s="377"/>
      <c r="AC140" s="377"/>
      <c r="AD140" s="377"/>
      <c r="AE140" s="377"/>
      <c r="AF140" s="377"/>
      <c r="AG140" s="377"/>
      <c r="AH140" s="377"/>
      <c r="AI140" s="377"/>
      <c r="AJ140" s="377"/>
      <c r="AK140" s="377"/>
      <c r="AL140" s="377"/>
      <c r="AM140" s="377"/>
      <c r="AN140" s="377"/>
      <c r="AO140" s="377"/>
      <c r="AP140" s="377"/>
      <c r="AQ140" s="377"/>
      <c r="AR140" s="377"/>
      <c r="AS140" s="377"/>
      <c r="AT140" s="377"/>
      <c r="AU140" s="377"/>
      <c r="AV140" s="377"/>
      <c r="AW140" s="377"/>
      <c r="AX140" s="377"/>
      <c r="AY140" s="377"/>
      <c r="AZ140" s="377"/>
      <c r="BA140" s="377"/>
      <c r="BB140" s="377"/>
      <c r="BC140" s="377"/>
      <c r="BD140" s="377"/>
      <c r="BE140" s="377"/>
      <c r="BF140" s="377"/>
      <c r="BG140" s="377"/>
      <c r="BH140" s="377"/>
      <c r="BI140" s="377"/>
      <c r="BJ140" s="377"/>
      <c r="BK140" s="377"/>
      <c r="BL140" s="377"/>
      <c r="BM140" s="377"/>
      <c r="BN140" s="377"/>
      <c r="BO140" s="377"/>
      <c r="BP140" s="377"/>
      <c r="BQ140" s="377"/>
      <c r="BR140" s="377"/>
      <c r="BS140" s="377"/>
      <c r="BT140" s="377"/>
      <c r="BU140" s="377"/>
      <c r="BV140" s="377"/>
      <c r="BW140" s="377"/>
      <c r="BX140" s="377"/>
      <c r="BY140" s="377"/>
      <c r="BZ140" s="377"/>
      <c r="CA140" s="377"/>
      <c r="CB140" s="377"/>
      <c r="CC140" s="377"/>
      <c r="CD140" s="377"/>
      <c r="CE140" s="377"/>
      <c r="CF140" s="377"/>
      <c r="CG140" s="377"/>
      <c r="CH140" s="377"/>
      <c r="CI140" s="377"/>
      <c r="CJ140" s="377"/>
      <c r="CK140" s="377"/>
      <c r="CL140" s="377"/>
      <c r="CM140" s="377"/>
      <c r="CN140" s="377"/>
      <c r="CO140" s="377"/>
      <c r="CP140" s="377"/>
      <c r="CQ140" s="377"/>
      <c r="CR140" s="377"/>
      <c r="CS140" s="377"/>
      <c r="CT140" s="377"/>
      <c r="CU140" s="377"/>
      <c r="CV140" s="377"/>
      <c r="CW140" s="377"/>
      <c r="CX140" s="377"/>
      <c r="CY140" s="377"/>
      <c r="CZ140" s="377"/>
      <c r="DA140" s="377"/>
      <c r="DB140" s="377"/>
      <c r="DC140" s="377"/>
      <c r="DD140" s="377"/>
      <c r="DE140" s="377"/>
      <c r="DF140" s="377"/>
      <c r="DG140" s="377"/>
      <c r="DH140" s="377"/>
      <c r="DI140" s="377"/>
      <c r="DJ140" s="377"/>
      <c r="DK140" s="377"/>
      <c r="DL140" s="377"/>
      <c r="DM140" s="377"/>
      <c r="DN140" s="377"/>
      <c r="DO140" s="377"/>
      <c r="DP140" s="377"/>
      <c r="DQ140" s="377"/>
      <c r="DR140" s="377"/>
      <c r="DS140" s="377"/>
      <c r="DT140" s="377"/>
      <c r="DU140" s="377"/>
      <c r="DV140" s="377"/>
      <c r="DW140" s="377"/>
      <c r="DX140" s="377"/>
      <c r="DY140" s="377"/>
      <c r="DZ140" s="377"/>
      <c r="EA140" s="377"/>
      <c r="EB140" s="377"/>
      <c r="EC140" s="377"/>
      <c r="ED140" s="377"/>
      <c r="EE140" s="377"/>
      <c r="EF140" s="377"/>
      <c r="EG140" s="377"/>
      <c r="EH140" s="377"/>
      <c r="EI140" s="377"/>
      <c r="EJ140" s="377"/>
      <c r="EK140" s="377"/>
      <c r="EL140" s="377"/>
      <c r="EM140" s="377"/>
      <c r="EN140" s="377"/>
      <c r="EO140" s="377"/>
      <c r="EP140" s="377"/>
      <c r="EQ140" s="377"/>
      <c r="ER140" s="377"/>
      <c r="ES140" s="377"/>
      <c r="ET140" s="377"/>
      <c r="EU140" s="377"/>
      <c r="EV140" s="377"/>
      <c r="EW140" s="377"/>
      <c r="EX140" s="377"/>
      <c r="EY140" s="377"/>
      <c r="EZ140" s="377"/>
      <c r="FA140" s="377"/>
      <c r="FB140" s="377"/>
      <c r="FC140" s="377"/>
      <c r="FD140" s="377"/>
      <c r="FE140" s="377"/>
      <c r="FF140" s="377"/>
      <c r="FG140" s="377"/>
      <c r="FH140" s="377"/>
      <c r="FI140" s="377"/>
      <c r="FJ140" s="377"/>
      <c r="FK140" s="377"/>
      <c r="FL140" s="377"/>
      <c r="FM140" s="377"/>
      <c r="FN140" s="377"/>
      <c r="FO140" s="377"/>
      <c r="FP140" s="377"/>
      <c r="FQ140" s="377"/>
      <c r="FR140" s="377"/>
      <c r="FS140" s="377"/>
      <c r="FT140" s="377"/>
      <c r="FU140" s="377"/>
      <c r="FV140" s="377"/>
      <c r="FW140" s="377"/>
      <c r="FX140" s="377"/>
      <c r="FY140" s="377"/>
      <c r="FZ140" s="377"/>
      <c r="GA140" s="377"/>
      <c r="GB140" s="377"/>
      <c r="GC140" s="377"/>
      <c r="GD140" s="377"/>
      <c r="GE140" s="377"/>
      <c r="GF140" s="377"/>
      <c r="GG140" s="377"/>
      <c r="GH140" s="377"/>
      <c r="GI140" s="377"/>
      <c r="GJ140" s="377"/>
      <c r="GK140" s="377"/>
      <c r="GL140" s="377"/>
      <c r="GM140" s="377"/>
      <c r="GN140" s="377"/>
      <c r="GO140" s="377"/>
      <c r="GP140" s="377"/>
      <c r="GQ140" s="377"/>
      <c r="GR140" s="377"/>
      <c r="GS140" s="377"/>
      <c r="GT140" s="377"/>
      <c r="GU140" s="377"/>
      <c r="GV140" s="377"/>
      <c r="GW140" s="377"/>
      <c r="GX140" s="377"/>
      <c r="GY140" s="377"/>
      <c r="GZ140" s="377"/>
      <c r="HA140" s="377"/>
      <c r="HB140" s="377"/>
      <c r="HC140" s="377"/>
      <c r="HD140" s="377"/>
      <c r="HE140" s="377"/>
      <c r="HF140" s="377"/>
      <c r="HG140" s="377"/>
      <c r="HH140" s="377"/>
      <c r="HI140" s="377"/>
      <c r="HJ140" s="377"/>
      <c r="HK140" s="377"/>
      <c r="HL140" s="377"/>
      <c r="HM140" s="377"/>
      <c r="HN140" s="377"/>
      <c r="HO140" s="377"/>
      <c r="HP140" s="377"/>
      <c r="HQ140" s="377"/>
      <c r="HR140" s="377"/>
      <c r="HS140" s="377"/>
      <c r="HT140" s="377"/>
      <c r="HU140" s="377"/>
      <c r="HV140" s="377"/>
      <c r="HW140" s="377"/>
      <c r="HX140" s="377"/>
      <c r="HY140" s="377"/>
      <c r="HZ140" s="377"/>
      <c r="IA140" s="377"/>
      <c r="IB140" s="377"/>
      <c r="IC140" s="377"/>
      <c r="ID140" s="377"/>
      <c r="IE140" s="377"/>
      <c r="IF140" s="377"/>
      <c r="IG140" s="377"/>
      <c r="IH140" s="377"/>
      <c r="II140" s="377"/>
      <c r="IJ140" s="377"/>
      <c r="IK140" s="377"/>
      <c r="IL140" s="377"/>
      <c r="IM140" s="377"/>
      <c r="IN140" s="377"/>
      <c r="IO140" s="377"/>
      <c r="IP140" s="377"/>
      <c r="IQ140" s="377"/>
    </row>
    <row r="141" spans="1:251" ht="9.9499999999999993" customHeight="1">
      <c r="A141" s="369"/>
      <c r="B141" s="398"/>
      <c r="C141" s="371"/>
      <c r="D141" s="371"/>
      <c r="E141" s="372"/>
      <c r="F141" s="368"/>
      <c r="G141" s="399"/>
      <c r="H141" s="399"/>
      <c r="I141" s="399"/>
      <c r="J141" s="373"/>
      <c r="K141" s="373"/>
      <c r="L141" s="373"/>
      <c r="M141" s="373"/>
      <c r="N141" s="373"/>
      <c r="O141" s="373"/>
      <c r="P141" s="373"/>
      <c r="Q141" s="373"/>
      <c r="R141" s="373"/>
      <c r="S141" s="373"/>
      <c r="T141" s="373"/>
      <c r="U141" s="373"/>
      <c r="V141" s="373"/>
      <c r="W141" s="373"/>
      <c r="X141" s="373"/>
      <c r="Y141" s="373"/>
      <c r="Z141" s="373"/>
      <c r="AA141" s="373"/>
      <c r="AB141" s="373"/>
      <c r="AC141" s="373"/>
      <c r="AD141" s="373"/>
      <c r="AE141" s="373"/>
      <c r="AF141" s="373"/>
      <c r="AG141" s="373"/>
      <c r="AH141" s="373"/>
      <c r="AI141" s="373"/>
      <c r="AJ141" s="373"/>
      <c r="AK141" s="373"/>
      <c r="AL141" s="373"/>
      <c r="AM141" s="373"/>
      <c r="AN141" s="373"/>
      <c r="AO141" s="373"/>
      <c r="AP141" s="373"/>
      <c r="AQ141" s="373"/>
      <c r="AR141" s="373"/>
      <c r="AS141" s="373"/>
      <c r="AT141" s="373"/>
      <c r="AU141" s="373"/>
      <c r="AV141" s="373"/>
      <c r="AW141" s="373"/>
      <c r="AX141" s="373"/>
      <c r="AY141" s="373"/>
      <c r="AZ141" s="373"/>
      <c r="BA141" s="373"/>
      <c r="BB141" s="373"/>
      <c r="BC141" s="373"/>
      <c r="BD141" s="373"/>
      <c r="BE141" s="373"/>
      <c r="BF141" s="373"/>
      <c r="BG141" s="373"/>
      <c r="BH141" s="373"/>
      <c r="BI141" s="373"/>
      <c r="BJ141" s="373"/>
      <c r="BK141" s="373"/>
      <c r="BL141" s="373"/>
      <c r="BM141" s="373"/>
      <c r="BN141" s="373"/>
      <c r="BO141" s="373"/>
      <c r="BP141" s="373"/>
      <c r="BQ141" s="373"/>
      <c r="BR141" s="373"/>
      <c r="BS141" s="373"/>
      <c r="BT141" s="373"/>
      <c r="BU141" s="373"/>
      <c r="BV141" s="373"/>
      <c r="BW141" s="373"/>
      <c r="BX141" s="373"/>
      <c r="BY141" s="373"/>
      <c r="BZ141" s="373"/>
      <c r="CA141" s="373"/>
      <c r="CB141" s="373"/>
      <c r="CC141" s="373"/>
      <c r="CD141" s="373"/>
      <c r="CE141" s="373"/>
      <c r="CF141" s="373"/>
      <c r="CG141" s="373"/>
      <c r="CH141" s="373"/>
      <c r="CI141" s="373"/>
      <c r="CJ141" s="373"/>
      <c r="CK141" s="373"/>
      <c r="CL141" s="373"/>
      <c r="CM141" s="373"/>
      <c r="CN141" s="373"/>
      <c r="CO141" s="373"/>
      <c r="CP141" s="373"/>
      <c r="CQ141" s="373"/>
      <c r="CR141" s="373"/>
      <c r="CS141" s="373"/>
      <c r="CT141" s="373"/>
      <c r="CU141" s="373"/>
      <c r="CV141" s="373"/>
      <c r="CW141" s="373"/>
      <c r="CX141" s="373"/>
      <c r="CY141" s="373"/>
      <c r="CZ141" s="373"/>
      <c r="DA141" s="373"/>
      <c r="DB141" s="373"/>
      <c r="DC141" s="373"/>
      <c r="DD141" s="373"/>
      <c r="DE141" s="373"/>
      <c r="DF141" s="373"/>
      <c r="DG141" s="373"/>
      <c r="DH141" s="373"/>
      <c r="DI141" s="373"/>
      <c r="DJ141" s="373"/>
      <c r="DK141" s="373"/>
      <c r="DL141" s="373"/>
      <c r="DM141" s="373"/>
      <c r="DN141" s="373"/>
      <c r="DO141" s="373"/>
      <c r="DP141" s="373"/>
      <c r="DQ141" s="373"/>
      <c r="DR141" s="373"/>
      <c r="DS141" s="373"/>
      <c r="DT141" s="373"/>
      <c r="DU141" s="373"/>
      <c r="DV141" s="373"/>
      <c r="DW141" s="373"/>
      <c r="DX141" s="373"/>
      <c r="DY141" s="373"/>
      <c r="DZ141" s="373"/>
      <c r="EA141" s="373"/>
      <c r="EB141" s="373"/>
      <c r="EC141" s="373"/>
      <c r="ED141" s="373"/>
      <c r="EE141" s="373"/>
      <c r="EF141" s="373"/>
      <c r="EG141" s="373"/>
      <c r="EH141" s="373"/>
      <c r="EI141" s="373"/>
      <c r="EJ141" s="373"/>
      <c r="EK141" s="373"/>
      <c r="EL141" s="373"/>
      <c r="EM141" s="373"/>
      <c r="EN141" s="373"/>
      <c r="EO141" s="373"/>
      <c r="EP141" s="373"/>
      <c r="EQ141" s="373"/>
      <c r="ER141" s="373"/>
      <c r="ES141" s="373"/>
      <c r="ET141" s="373"/>
      <c r="EU141" s="373"/>
      <c r="EV141" s="373"/>
      <c r="EW141" s="373"/>
      <c r="EX141" s="373"/>
      <c r="EY141" s="373"/>
      <c r="EZ141" s="373"/>
      <c r="FA141" s="373"/>
      <c r="FB141" s="373"/>
      <c r="FC141" s="373"/>
      <c r="FD141" s="373"/>
      <c r="FE141" s="373"/>
      <c r="FF141" s="373"/>
      <c r="FG141" s="373"/>
      <c r="FH141" s="373"/>
      <c r="FI141" s="373"/>
      <c r="FJ141" s="373"/>
      <c r="FK141" s="373"/>
      <c r="FL141" s="373"/>
      <c r="FM141" s="373"/>
      <c r="FN141" s="373"/>
      <c r="FO141" s="373"/>
      <c r="FP141" s="373"/>
      <c r="FQ141" s="373"/>
      <c r="FR141" s="373"/>
      <c r="FS141" s="373"/>
      <c r="FT141" s="373"/>
      <c r="FU141" s="373"/>
      <c r="FV141" s="373"/>
      <c r="FW141" s="373"/>
      <c r="FX141" s="373"/>
      <c r="FY141" s="373"/>
      <c r="FZ141" s="373"/>
      <c r="GA141" s="373"/>
      <c r="GB141" s="373"/>
      <c r="GC141" s="373"/>
      <c r="GD141" s="373"/>
      <c r="GE141" s="373"/>
      <c r="GF141" s="373"/>
      <c r="GG141" s="373"/>
      <c r="GH141" s="373"/>
      <c r="GI141" s="373"/>
      <c r="GJ141" s="373"/>
      <c r="GK141" s="373"/>
      <c r="GL141" s="373"/>
      <c r="GM141" s="373"/>
      <c r="GN141" s="373"/>
      <c r="GO141" s="373"/>
      <c r="GP141" s="373"/>
      <c r="GQ141" s="373"/>
      <c r="GR141" s="373"/>
      <c r="GS141" s="373"/>
      <c r="GT141" s="373"/>
      <c r="GU141" s="373"/>
      <c r="GV141" s="373"/>
      <c r="GW141" s="373"/>
      <c r="GX141" s="373"/>
      <c r="GY141" s="373"/>
      <c r="GZ141" s="373"/>
      <c r="HA141" s="373"/>
      <c r="HB141" s="373"/>
      <c r="HC141" s="373"/>
      <c r="HD141" s="373"/>
      <c r="HE141" s="373"/>
      <c r="HF141" s="373"/>
      <c r="HG141" s="373"/>
      <c r="HH141" s="373"/>
      <c r="HI141" s="373"/>
      <c r="HJ141" s="373"/>
      <c r="HK141" s="373"/>
      <c r="HL141" s="373"/>
      <c r="HM141" s="373"/>
      <c r="HN141" s="373"/>
      <c r="HO141" s="373"/>
      <c r="HP141" s="373"/>
      <c r="HQ141" s="373"/>
      <c r="HR141" s="373"/>
      <c r="HS141" s="373"/>
      <c r="HT141" s="373"/>
      <c r="HU141" s="373"/>
      <c r="HV141" s="373"/>
      <c r="HW141" s="373"/>
      <c r="HX141" s="373"/>
      <c r="HY141" s="373"/>
      <c r="HZ141" s="373"/>
      <c r="IA141" s="373"/>
      <c r="IB141" s="373"/>
      <c r="IC141" s="373"/>
      <c r="ID141" s="373"/>
      <c r="IE141" s="373"/>
      <c r="IF141" s="373"/>
      <c r="IG141" s="373"/>
      <c r="IH141" s="373"/>
      <c r="II141" s="373"/>
      <c r="IJ141" s="373"/>
      <c r="IK141" s="373"/>
      <c r="IL141" s="373"/>
      <c r="IM141" s="373"/>
      <c r="IN141" s="373"/>
      <c r="IO141" s="373"/>
      <c r="IP141" s="373"/>
      <c r="IQ141" s="373"/>
    </row>
    <row r="142" spans="1:251">
      <c r="A142" s="384"/>
      <c r="B142" s="385" t="s">
        <v>591</v>
      </c>
      <c r="C142" s="356">
        <f>D142+E142</f>
        <v>430000</v>
      </c>
      <c r="D142" s="356">
        <v>430000</v>
      </c>
      <c r="E142" s="376">
        <v>0</v>
      </c>
      <c r="F142" s="368"/>
      <c r="G142" s="386" t="s">
        <v>421</v>
      </c>
      <c r="H142" s="386" t="s">
        <v>421</v>
      </c>
      <c r="I142" s="386" t="s">
        <v>421</v>
      </c>
    </row>
    <row r="143" spans="1:251" ht="9.9499999999999993" customHeight="1">
      <c r="A143" s="384"/>
      <c r="B143" s="385"/>
      <c r="C143" s="356"/>
      <c r="D143" s="356"/>
      <c r="E143" s="376"/>
      <c r="F143" s="368"/>
      <c r="G143" s="356"/>
      <c r="H143" s="356"/>
      <c r="I143" s="356"/>
    </row>
    <row r="144" spans="1:251">
      <c r="A144" s="384"/>
      <c r="B144" s="391" t="s">
        <v>595</v>
      </c>
      <c r="C144" s="386" t="s">
        <v>421</v>
      </c>
      <c r="D144" s="386" t="s">
        <v>421</v>
      </c>
      <c r="E144" s="400" t="s">
        <v>421</v>
      </c>
      <c r="F144" s="368"/>
      <c r="G144" s="356">
        <f>H144+I144</f>
        <v>430000</v>
      </c>
      <c r="H144" s="356">
        <v>430000</v>
      </c>
      <c r="I144" s="356">
        <v>0</v>
      </c>
    </row>
    <row r="145" spans="1:251" ht="9.9499999999999993" customHeight="1">
      <c r="A145" s="374"/>
      <c r="B145" s="375"/>
      <c r="C145" s="396"/>
      <c r="D145" s="396"/>
      <c r="E145" s="397"/>
      <c r="F145" s="368"/>
      <c r="G145" s="356"/>
      <c r="H145" s="356"/>
      <c r="I145" s="356"/>
    </row>
    <row r="146" spans="1:251" ht="31.15" customHeight="1">
      <c r="A146" s="1099" t="s">
        <v>609</v>
      </c>
      <c r="B146" s="1099"/>
      <c r="C146" s="378">
        <f>C148</f>
        <v>3305000</v>
      </c>
      <c r="D146" s="378">
        <f>D148</f>
        <v>3305000</v>
      </c>
      <c r="E146" s="379">
        <f>E148</f>
        <v>0</v>
      </c>
      <c r="F146" s="368"/>
      <c r="G146" s="378">
        <f>G150+G152</f>
        <v>3305000</v>
      </c>
      <c r="H146" s="378">
        <f>H150+H152</f>
        <v>3305000</v>
      </c>
      <c r="I146" s="378">
        <f>I150+I152</f>
        <v>0</v>
      </c>
      <c r="J146" s="377"/>
      <c r="K146" s="377"/>
      <c r="L146" s="377"/>
      <c r="M146" s="377"/>
      <c r="N146" s="377"/>
      <c r="O146" s="377"/>
      <c r="P146" s="377"/>
      <c r="Q146" s="377"/>
      <c r="R146" s="377"/>
      <c r="S146" s="377"/>
      <c r="T146" s="377"/>
      <c r="U146" s="377"/>
      <c r="V146" s="377"/>
      <c r="W146" s="377"/>
      <c r="X146" s="377"/>
      <c r="Y146" s="377"/>
      <c r="Z146" s="377"/>
      <c r="AA146" s="377"/>
      <c r="AB146" s="377"/>
      <c r="AC146" s="377"/>
      <c r="AD146" s="377"/>
      <c r="AE146" s="377"/>
      <c r="AF146" s="377"/>
      <c r="AG146" s="377"/>
      <c r="AH146" s="377"/>
      <c r="AI146" s="377"/>
      <c r="AJ146" s="377"/>
      <c r="AK146" s="377"/>
      <c r="AL146" s="377"/>
      <c r="AM146" s="377"/>
      <c r="AN146" s="377"/>
      <c r="AO146" s="377"/>
      <c r="AP146" s="377"/>
      <c r="AQ146" s="377"/>
      <c r="AR146" s="377"/>
      <c r="AS146" s="377"/>
      <c r="AT146" s="377"/>
      <c r="AU146" s="377"/>
      <c r="AV146" s="377"/>
      <c r="AW146" s="377"/>
      <c r="AX146" s="377"/>
      <c r="AY146" s="377"/>
      <c r="AZ146" s="377"/>
      <c r="BA146" s="377"/>
      <c r="BB146" s="377"/>
      <c r="BC146" s="377"/>
      <c r="BD146" s="377"/>
      <c r="BE146" s="377"/>
      <c r="BF146" s="377"/>
      <c r="BG146" s="377"/>
      <c r="BH146" s="377"/>
      <c r="BI146" s="377"/>
      <c r="BJ146" s="377"/>
      <c r="BK146" s="377"/>
      <c r="BL146" s="377"/>
      <c r="BM146" s="377"/>
      <c r="BN146" s="377"/>
      <c r="BO146" s="377"/>
      <c r="BP146" s="377"/>
      <c r="BQ146" s="377"/>
      <c r="BR146" s="377"/>
      <c r="BS146" s="377"/>
      <c r="BT146" s="377"/>
      <c r="BU146" s="377"/>
      <c r="BV146" s="377"/>
      <c r="BW146" s="377"/>
      <c r="BX146" s="377"/>
      <c r="BY146" s="377"/>
      <c r="BZ146" s="377"/>
      <c r="CA146" s="377"/>
      <c r="CB146" s="377"/>
      <c r="CC146" s="377"/>
      <c r="CD146" s="377"/>
      <c r="CE146" s="377"/>
      <c r="CF146" s="377"/>
      <c r="CG146" s="377"/>
      <c r="CH146" s="377"/>
      <c r="CI146" s="377"/>
      <c r="CJ146" s="377"/>
      <c r="CK146" s="377"/>
      <c r="CL146" s="377"/>
      <c r="CM146" s="377"/>
      <c r="CN146" s="377"/>
      <c r="CO146" s="377"/>
      <c r="CP146" s="377"/>
      <c r="CQ146" s="377"/>
      <c r="CR146" s="377"/>
      <c r="CS146" s="377"/>
      <c r="CT146" s="377"/>
      <c r="CU146" s="377"/>
      <c r="CV146" s="377"/>
      <c r="CW146" s="377"/>
      <c r="CX146" s="377"/>
      <c r="CY146" s="377"/>
      <c r="CZ146" s="377"/>
      <c r="DA146" s="377"/>
      <c r="DB146" s="377"/>
      <c r="DC146" s="377"/>
      <c r="DD146" s="377"/>
      <c r="DE146" s="377"/>
      <c r="DF146" s="377"/>
      <c r="DG146" s="377"/>
      <c r="DH146" s="377"/>
      <c r="DI146" s="377"/>
      <c r="DJ146" s="377"/>
      <c r="DK146" s="377"/>
      <c r="DL146" s="377"/>
      <c r="DM146" s="377"/>
      <c r="DN146" s="377"/>
      <c r="DO146" s="377"/>
      <c r="DP146" s="377"/>
      <c r="DQ146" s="377"/>
      <c r="DR146" s="377"/>
      <c r="DS146" s="377"/>
      <c r="DT146" s="377"/>
      <c r="DU146" s="377"/>
      <c r="DV146" s="377"/>
      <c r="DW146" s="377"/>
      <c r="DX146" s="377"/>
      <c r="DY146" s="377"/>
      <c r="DZ146" s="377"/>
      <c r="EA146" s="377"/>
      <c r="EB146" s="377"/>
      <c r="EC146" s="377"/>
      <c r="ED146" s="377"/>
      <c r="EE146" s="377"/>
      <c r="EF146" s="377"/>
      <c r="EG146" s="377"/>
      <c r="EH146" s="377"/>
      <c r="EI146" s="377"/>
      <c r="EJ146" s="377"/>
      <c r="EK146" s="377"/>
      <c r="EL146" s="377"/>
      <c r="EM146" s="377"/>
      <c r="EN146" s="377"/>
      <c r="EO146" s="377"/>
      <c r="EP146" s="377"/>
      <c r="EQ146" s="377"/>
      <c r="ER146" s="377"/>
      <c r="ES146" s="377"/>
      <c r="ET146" s="377"/>
      <c r="EU146" s="377"/>
      <c r="EV146" s="377"/>
      <c r="EW146" s="377"/>
      <c r="EX146" s="377"/>
      <c r="EY146" s="377"/>
      <c r="EZ146" s="377"/>
      <c r="FA146" s="377"/>
      <c r="FB146" s="377"/>
      <c r="FC146" s="377"/>
      <c r="FD146" s="377"/>
      <c r="FE146" s="377"/>
      <c r="FF146" s="377"/>
      <c r="FG146" s="377"/>
      <c r="FH146" s="377"/>
      <c r="FI146" s="377"/>
      <c r="FJ146" s="377"/>
      <c r="FK146" s="377"/>
      <c r="FL146" s="377"/>
      <c r="FM146" s="377"/>
      <c r="FN146" s="377"/>
      <c r="FO146" s="377"/>
      <c r="FP146" s="377"/>
      <c r="FQ146" s="377"/>
      <c r="FR146" s="377"/>
      <c r="FS146" s="377"/>
      <c r="FT146" s="377"/>
      <c r="FU146" s="377"/>
      <c r="FV146" s="377"/>
      <c r="FW146" s="377"/>
      <c r="FX146" s="377"/>
      <c r="FY146" s="377"/>
      <c r="FZ146" s="377"/>
      <c r="GA146" s="377"/>
      <c r="GB146" s="377"/>
      <c r="GC146" s="377"/>
      <c r="GD146" s="377"/>
      <c r="GE146" s="377"/>
      <c r="GF146" s="377"/>
      <c r="GG146" s="377"/>
      <c r="GH146" s="377"/>
      <c r="GI146" s="377"/>
      <c r="GJ146" s="377"/>
      <c r="GK146" s="377"/>
      <c r="GL146" s="377"/>
      <c r="GM146" s="377"/>
      <c r="GN146" s="377"/>
      <c r="GO146" s="377"/>
      <c r="GP146" s="377"/>
      <c r="GQ146" s="377"/>
      <c r="GR146" s="377"/>
      <c r="GS146" s="377"/>
      <c r="GT146" s="377"/>
      <c r="GU146" s="377"/>
      <c r="GV146" s="377"/>
      <c r="GW146" s="377"/>
      <c r="GX146" s="377"/>
      <c r="GY146" s="377"/>
      <c r="GZ146" s="377"/>
      <c r="HA146" s="377"/>
      <c r="HB146" s="377"/>
      <c r="HC146" s="377"/>
      <c r="HD146" s="377"/>
      <c r="HE146" s="377"/>
      <c r="HF146" s="377"/>
      <c r="HG146" s="377"/>
      <c r="HH146" s="377"/>
      <c r="HI146" s="377"/>
      <c r="HJ146" s="377"/>
      <c r="HK146" s="377"/>
      <c r="HL146" s="377"/>
      <c r="HM146" s="377"/>
      <c r="HN146" s="377"/>
      <c r="HO146" s="377"/>
      <c r="HP146" s="377"/>
      <c r="HQ146" s="377"/>
      <c r="HR146" s="377"/>
      <c r="HS146" s="377"/>
      <c r="HT146" s="377"/>
      <c r="HU146" s="377"/>
      <c r="HV146" s="377"/>
      <c r="HW146" s="377"/>
      <c r="HX146" s="377"/>
      <c r="HY146" s="377"/>
      <c r="HZ146" s="377"/>
      <c r="IA146" s="377"/>
      <c r="IB146" s="377"/>
      <c r="IC146" s="377"/>
      <c r="ID146" s="377"/>
      <c r="IE146" s="377"/>
      <c r="IF146" s="377"/>
      <c r="IG146" s="377"/>
      <c r="IH146" s="377"/>
      <c r="II146" s="377"/>
      <c r="IJ146" s="377"/>
      <c r="IK146" s="377"/>
      <c r="IL146" s="377"/>
      <c r="IM146" s="377"/>
      <c r="IN146" s="377"/>
      <c r="IO146" s="377"/>
      <c r="IP146" s="377"/>
      <c r="IQ146" s="377"/>
    </row>
    <row r="147" spans="1:251" ht="9.9499999999999993" customHeight="1">
      <c r="A147" s="369"/>
      <c r="B147" s="398"/>
      <c r="C147" s="371"/>
      <c r="D147" s="371"/>
      <c r="E147" s="372"/>
      <c r="F147" s="408"/>
      <c r="G147" s="399"/>
      <c r="H147" s="399"/>
      <c r="I147" s="399"/>
      <c r="J147" s="373"/>
      <c r="K147" s="373"/>
      <c r="L147" s="373"/>
      <c r="M147" s="373"/>
      <c r="N147" s="373"/>
      <c r="O147" s="373"/>
      <c r="P147" s="373"/>
      <c r="Q147" s="373"/>
      <c r="R147" s="373"/>
      <c r="S147" s="373"/>
      <c r="T147" s="373"/>
      <c r="U147" s="373"/>
      <c r="V147" s="373"/>
      <c r="W147" s="373"/>
      <c r="X147" s="373"/>
      <c r="Y147" s="373"/>
      <c r="Z147" s="373"/>
      <c r="AA147" s="373"/>
      <c r="AB147" s="373"/>
      <c r="AC147" s="373"/>
      <c r="AD147" s="373"/>
      <c r="AE147" s="373"/>
      <c r="AF147" s="373"/>
      <c r="AG147" s="373"/>
      <c r="AH147" s="373"/>
      <c r="AI147" s="373"/>
      <c r="AJ147" s="373"/>
      <c r="AK147" s="373"/>
      <c r="AL147" s="373"/>
      <c r="AM147" s="373"/>
      <c r="AN147" s="373"/>
      <c r="AO147" s="373"/>
      <c r="AP147" s="373"/>
      <c r="AQ147" s="373"/>
      <c r="AR147" s="373"/>
      <c r="AS147" s="373"/>
      <c r="AT147" s="373"/>
      <c r="AU147" s="373"/>
      <c r="AV147" s="373"/>
      <c r="AW147" s="373"/>
      <c r="AX147" s="373"/>
      <c r="AY147" s="373"/>
      <c r="AZ147" s="373"/>
      <c r="BA147" s="373"/>
      <c r="BB147" s="373"/>
      <c r="BC147" s="373"/>
      <c r="BD147" s="373"/>
      <c r="BE147" s="373"/>
      <c r="BF147" s="373"/>
      <c r="BG147" s="373"/>
      <c r="BH147" s="373"/>
      <c r="BI147" s="373"/>
      <c r="BJ147" s="373"/>
      <c r="BK147" s="373"/>
      <c r="BL147" s="373"/>
      <c r="BM147" s="373"/>
      <c r="BN147" s="373"/>
      <c r="BO147" s="373"/>
      <c r="BP147" s="373"/>
      <c r="BQ147" s="373"/>
      <c r="BR147" s="373"/>
      <c r="BS147" s="373"/>
      <c r="BT147" s="373"/>
      <c r="BU147" s="373"/>
      <c r="BV147" s="373"/>
      <c r="BW147" s="373"/>
      <c r="BX147" s="373"/>
      <c r="BY147" s="373"/>
      <c r="BZ147" s="373"/>
      <c r="CA147" s="373"/>
      <c r="CB147" s="373"/>
      <c r="CC147" s="373"/>
      <c r="CD147" s="373"/>
      <c r="CE147" s="373"/>
      <c r="CF147" s="373"/>
      <c r="CG147" s="373"/>
      <c r="CH147" s="373"/>
      <c r="CI147" s="373"/>
      <c r="CJ147" s="373"/>
      <c r="CK147" s="373"/>
      <c r="CL147" s="373"/>
      <c r="CM147" s="373"/>
      <c r="CN147" s="373"/>
      <c r="CO147" s="373"/>
      <c r="CP147" s="373"/>
      <c r="CQ147" s="373"/>
      <c r="CR147" s="373"/>
      <c r="CS147" s="373"/>
      <c r="CT147" s="373"/>
      <c r="CU147" s="373"/>
      <c r="CV147" s="373"/>
      <c r="CW147" s="373"/>
      <c r="CX147" s="373"/>
      <c r="CY147" s="373"/>
      <c r="CZ147" s="373"/>
      <c r="DA147" s="373"/>
      <c r="DB147" s="373"/>
      <c r="DC147" s="373"/>
      <c r="DD147" s="373"/>
      <c r="DE147" s="373"/>
      <c r="DF147" s="373"/>
      <c r="DG147" s="373"/>
      <c r="DH147" s="373"/>
      <c r="DI147" s="373"/>
      <c r="DJ147" s="373"/>
      <c r="DK147" s="373"/>
      <c r="DL147" s="373"/>
      <c r="DM147" s="373"/>
      <c r="DN147" s="373"/>
      <c r="DO147" s="373"/>
      <c r="DP147" s="373"/>
      <c r="DQ147" s="373"/>
      <c r="DR147" s="373"/>
      <c r="DS147" s="373"/>
      <c r="DT147" s="373"/>
      <c r="DU147" s="373"/>
      <c r="DV147" s="373"/>
      <c r="DW147" s="373"/>
      <c r="DX147" s="373"/>
      <c r="DY147" s="373"/>
      <c r="DZ147" s="373"/>
      <c r="EA147" s="373"/>
      <c r="EB147" s="373"/>
      <c r="EC147" s="373"/>
      <c r="ED147" s="373"/>
      <c r="EE147" s="373"/>
      <c r="EF147" s="373"/>
      <c r="EG147" s="373"/>
      <c r="EH147" s="373"/>
      <c r="EI147" s="373"/>
      <c r="EJ147" s="373"/>
      <c r="EK147" s="373"/>
      <c r="EL147" s="373"/>
      <c r="EM147" s="373"/>
      <c r="EN147" s="373"/>
      <c r="EO147" s="373"/>
      <c r="EP147" s="373"/>
      <c r="EQ147" s="373"/>
      <c r="ER147" s="373"/>
      <c r="ES147" s="373"/>
      <c r="ET147" s="373"/>
      <c r="EU147" s="373"/>
      <c r="EV147" s="373"/>
      <c r="EW147" s="373"/>
      <c r="EX147" s="373"/>
      <c r="EY147" s="373"/>
      <c r="EZ147" s="373"/>
      <c r="FA147" s="373"/>
      <c r="FB147" s="373"/>
      <c r="FC147" s="373"/>
      <c r="FD147" s="373"/>
      <c r="FE147" s="373"/>
      <c r="FF147" s="373"/>
      <c r="FG147" s="373"/>
      <c r="FH147" s="373"/>
      <c r="FI147" s="373"/>
      <c r="FJ147" s="373"/>
      <c r="FK147" s="373"/>
      <c r="FL147" s="373"/>
      <c r="FM147" s="373"/>
      <c r="FN147" s="373"/>
      <c r="FO147" s="373"/>
      <c r="FP147" s="373"/>
      <c r="FQ147" s="373"/>
      <c r="FR147" s="373"/>
      <c r="FS147" s="373"/>
      <c r="FT147" s="373"/>
      <c r="FU147" s="373"/>
      <c r="FV147" s="373"/>
      <c r="FW147" s="373"/>
      <c r="FX147" s="373"/>
      <c r="FY147" s="373"/>
      <c r="FZ147" s="373"/>
      <c r="GA147" s="373"/>
      <c r="GB147" s="373"/>
      <c r="GC147" s="373"/>
      <c r="GD147" s="373"/>
      <c r="GE147" s="373"/>
      <c r="GF147" s="373"/>
      <c r="GG147" s="373"/>
      <c r="GH147" s="373"/>
      <c r="GI147" s="373"/>
      <c r="GJ147" s="373"/>
      <c r="GK147" s="373"/>
      <c r="GL147" s="373"/>
      <c r="GM147" s="373"/>
      <c r="GN147" s="373"/>
      <c r="GO147" s="373"/>
      <c r="GP147" s="373"/>
      <c r="GQ147" s="373"/>
      <c r="GR147" s="373"/>
      <c r="GS147" s="373"/>
      <c r="GT147" s="373"/>
      <c r="GU147" s="373"/>
      <c r="GV147" s="373"/>
      <c r="GW147" s="373"/>
      <c r="GX147" s="373"/>
      <c r="GY147" s="373"/>
      <c r="GZ147" s="373"/>
      <c r="HA147" s="373"/>
      <c r="HB147" s="373"/>
      <c r="HC147" s="373"/>
      <c r="HD147" s="373"/>
      <c r="HE147" s="373"/>
      <c r="HF147" s="373"/>
      <c r="HG147" s="373"/>
      <c r="HH147" s="373"/>
      <c r="HI147" s="373"/>
      <c r="HJ147" s="373"/>
      <c r="HK147" s="373"/>
      <c r="HL147" s="373"/>
      <c r="HM147" s="373"/>
      <c r="HN147" s="373"/>
      <c r="HO147" s="373"/>
      <c r="HP147" s="373"/>
      <c r="HQ147" s="373"/>
      <c r="HR147" s="373"/>
      <c r="HS147" s="373"/>
      <c r="HT147" s="373"/>
      <c r="HU147" s="373"/>
      <c r="HV147" s="373"/>
      <c r="HW147" s="373"/>
      <c r="HX147" s="373"/>
      <c r="HY147" s="373"/>
      <c r="HZ147" s="373"/>
      <c r="IA147" s="373"/>
      <c r="IB147" s="373"/>
      <c r="IC147" s="373"/>
      <c r="ID147" s="373"/>
      <c r="IE147" s="373"/>
      <c r="IF147" s="373"/>
      <c r="IG147" s="373"/>
      <c r="IH147" s="373"/>
      <c r="II147" s="373"/>
      <c r="IJ147" s="373"/>
      <c r="IK147" s="373"/>
      <c r="IL147" s="373"/>
      <c r="IM147" s="373"/>
      <c r="IN147" s="373"/>
      <c r="IO147" s="373"/>
      <c r="IP147" s="373"/>
      <c r="IQ147" s="373"/>
    </row>
    <row r="148" spans="1:251">
      <c r="A148" s="409"/>
      <c r="B148" s="410" t="s">
        <v>591</v>
      </c>
      <c r="C148" s="366">
        <f>D148+E148</f>
        <v>3305000</v>
      </c>
      <c r="D148" s="366">
        <v>3305000</v>
      </c>
      <c r="E148" s="367">
        <v>0</v>
      </c>
      <c r="F148" s="368"/>
      <c r="G148" s="411" t="s">
        <v>421</v>
      </c>
      <c r="H148" s="411" t="s">
        <v>421</v>
      </c>
      <c r="I148" s="411" t="s">
        <v>421</v>
      </c>
    </row>
    <row r="149" spans="1:251" ht="9.9499999999999993" customHeight="1">
      <c r="A149" s="374"/>
      <c r="B149" s="375"/>
      <c r="C149" s="356"/>
      <c r="D149" s="356"/>
      <c r="E149" s="376"/>
      <c r="F149" s="368"/>
      <c r="G149" s="356"/>
      <c r="H149" s="356"/>
      <c r="I149" s="356"/>
    </row>
    <row r="150" spans="1:251">
      <c r="A150" s="416"/>
      <c r="B150" s="391" t="s">
        <v>314</v>
      </c>
      <c r="C150" s="386" t="s">
        <v>421</v>
      </c>
      <c r="D150" s="386" t="s">
        <v>421</v>
      </c>
      <c r="E150" s="400" t="s">
        <v>421</v>
      </c>
      <c r="F150" s="368"/>
      <c r="G150" s="356">
        <f>H150+I150</f>
        <v>2708111</v>
      </c>
      <c r="H150" s="356">
        <f>2060516+188785+385573+39677+21000+12560</f>
        <v>2708111</v>
      </c>
      <c r="I150" s="356">
        <v>0</v>
      </c>
      <c r="J150" s="373"/>
      <c r="K150" s="373"/>
      <c r="L150" s="373"/>
      <c r="M150" s="373"/>
      <c r="N150" s="373"/>
      <c r="O150" s="373"/>
      <c r="P150" s="373"/>
      <c r="Q150" s="373"/>
      <c r="R150" s="373"/>
      <c r="S150" s="373"/>
      <c r="T150" s="373"/>
      <c r="U150" s="373"/>
      <c r="V150" s="373"/>
      <c r="W150" s="373"/>
      <c r="X150" s="373"/>
      <c r="Y150" s="373"/>
      <c r="Z150" s="373"/>
      <c r="AA150" s="373"/>
      <c r="AB150" s="373"/>
      <c r="AC150" s="373"/>
      <c r="AD150" s="373"/>
      <c r="AE150" s="373"/>
      <c r="AF150" s="373"/>
      <c r="AG150" s="373"/>
      <c r="AH150" s="373"/>
      <c r="AI150" s="373"/>
      <c r="AJ150" s="373"/>
      <c r="AK150" s="373"/>
      <c r="AL150" s="373"/>
      <c r="AM150" s="373"/>
      <c r="AN150" s="373"/>
      <c r="AO150" s="373"/>
      <c r="AP150" s="373"/>
      <c r="AQ150" s="373"/>
      <c r="AR150" s="373"/>
      <c r="AS150" s="373"/>
      <c r="AT150" s="373"/>
      <c r="AU150" s="373"/>
      <c r="AV150" s="373"/>
      <c r="AW150" s="373"/>
      <c r="AX150" s="373"/>
      <c r="AY150" s="373"/>
      <c r="AZ150" s="373"/>
      <c r="BA150" s="373"/>
      <c r="BB150" s="373"/>
      <c r="BC150" s="373"/>
      <c r="BD150" s="373"/>
      <c r="BE150" s="373"/>
      <c r="BF150" s="373"/>
      <c r="BG150" s="373"/>
      <c r="BH150" s="373"/>
      <c r="BI150" s="373"/>
      <c r="BJ150" s="373"/>
      <c r="BK150" s="373"/>
      <c r="BL150" s="373"/>
      <c r="BM150" s="373"/>
      <c r="BN150" s="373"/>
      <c r="BO150" s="373"/>
      <c r="BP150" s="373"/>
      <c r="BQ150" s="373"/>
      <c r="BR150" s="373"/>
      <c r="BS150" s="373"/>
      <c r="BT150" s="373"/>
      <c r="BU150" s="373"/>
      <c r="BV150" s="373"/>
      <c r="BW150" s="373"/>
      <c r="BX150" s="373"/>
      <c r="BY150" s="373"/>
      <c r="BZ150" s="373"/>
      <c r="CA150" s="373"/>
      <c r="CB150" s="373"/>
      <c r="CC150" s="373"/>
      <c r="CD150" s="373"/>
      <c r="CE150" s="373"/>
      <c r="CF150" s="373"/>
      <c r="CG150" s="373"/>
      <c r="CH150" s="373"/>
      <c r="CI150" s="373"/>
      <c r="CJ150" s="373"/>
      <c r="CK150" s="373"/>
      <c r="CL150" s="373"/>
      <c r="CM150" s="373"/>
      <c r="CN150" s="373"/>
      <c r="CO150" s="373"/>
      <c r="CP150" s="373"/>
      <c r="CQ150" s="373"/>
      <c r="CR150" s="373"/>
      <c r="CS150" s="373"/>
      <c r="CT150" s="373"/>
      <c r="CU150" s="373"/>
      <c r="CV150" s="373"/>
      <c r="CW150" s="373"/>
      <c r="CX150" s="373"/>
      <c r="CY150" s="373"/>
      <c r="CZ150" s="373"/>
      <c r="DA150" s="373"/>
      <c r="DB150" s="373"/>
      <c r="DC150" s="373"/>
      <c r="DD150" s="373"/>
      <c r="DE150" s="373"/>
      <c r="DF150" s="373"/>
      <c r="DG150" s="373"/>
      <c r="DH150" s="373"/>
      <c r="DI150" s="373"/>
      <c r="DJ150" s="373"/>
      <c r="DK150" s="373"/>
      <c r="DL150" s="373"/>
      <c r="DM150" s="373"/>
      <c r="DN150" s="373"/>
      <c r="DO150" s="373"/>
      <c r="DP150" s="373"/>
      <c r="DQ150" s="373"/>
      <c r="DR150" s="373"/>
      <c r="DS150" s="373"/>
      <c r="DT150" s="373"/>
      <c r="DU150" s="373"/>
      <c r="DV150" s="373"/>
      <c r="DW150" s="373"/>
      <c r="DX150" s="373"/>
      <c r="DY150" s="373"/>
      <c r="DZ150" s="373"/>
      <c r="EA150" s="373"/>
      <c r="EB150" s="373"/>
      <c r="EC150" s="373"/>
      <c r="ED150" s="373"/>
      <c r="EE150" s="373"/>
      <c r="EF150" s="373"/>
      <c r="EG150" s="373"/>
      <c r="EH150" s="373"/>
      <c r="EI150" s="373"/>
      <c r="EJ150" s="373"/>
      <c r="EK150" s="373"/>
      <c r="EL150" s="373"/>
      <c r="EM150" s="373"/>
      <c r="EN150" s="373"/>
      <c r="EO150" s="373"/>
      <c r="EP150" s="373"/>
      <c r="EQ150" s="373"/>
      <c r="ER150" s="373"/>
      <c r="ES150" s="373"/>
      <c r="ET150" s="373"/>
      <c r="EU150" s="373"/>
      <c r="EV150" s="373"/>
      <c r="EW150" s="373"/>
      <c r="EX150" s="373"/>
      <c r="EY150" s="373"/>
      <c r="EZ150" s="373"/>
      <c r="FA150" s="373"/>
      <c r="FB150" s="373"/>
      <c r="FC150" s="373"/>
      <c r="FD150" s="373"/>
      <c r="FE150" s="373"/>
      <c r="FF150" s="373"/>
      <c r="FG150" s="373"/>
      <c r="FH150" s="373"/>
      <c r="FI150" s="373"/>
      <c r="FJ150" s="373"/>
      <c r="FK150" s="373"/>
      <c r="FL150" s="373"/>
      <c r="FM150" s="373"/>
      <c r="FN150" s="373"/>
      <c r="FO150" s="373"/>
      <c r="FP150" s="373"/>
      <c r="FQ150" s="373"/>
      <c r="FR150" s="373"/>
      <c r="FS150" s="373"/>
      <c r="FT150" s="373"/>
      <c r="FU150" s="373"/>
      <c r="FV150" s="373"/>
      <c r="FW150" s="373"/>
      <c r="FX150" s="373"/>
      <c r="FY150" s="373"/>
      <c r="FZ150" s="373"/>
      <c r="GA150" s="373"/>
      <c r="GB150" s="373"/>
      <c r="GC150" s="373"/>
      <c r="GD150" s="373"/>
      <c r="GE150" s="373"/>
      <c r="GF150" s="373"/>
      <c r="GG150" s="373"/>
      <c r="GH150" s="373"/>
      <c r="GI150" s="373"/>
      <c r="GJ150" s="373"/>
      <c r="GK150" s="373"/>
      <c r="GL150" s="373"/>
      <c r="GM150" s="373"/>
      <c r="GN150" s="373"/>
      <c r="GO150" s="373"/>
      <c r="GP150" s="373"/>
      <c r="GQ150" s="373"/>
      <c r="GR150" s="373"/>
      <c r="GS150" s="373"/>
      <c r="GT150" s="373"/>
      <c r="GU150" s="373"/>
      <c r="GV150" s="373"/>
      <c r="GW150" s="373"/>
      <c r="GX150" s="373"/>
      <c r="GY150" s="373"/>
      <c r="GZ150" s="373"/>
      <c r="HA150" s="373"/>
      <c r="HB150" s="373"/>
      <c r="HC150" s="373"/>
      <c r="HD150" s="373"/>
      <c r="HE150" s="373"/>
      <c r="HF150" s="373"/>
      <c r="HG150" s="373"/>
      <c r="HH150" s="373"/>
      <c r="HI150" s="373"/>
      <c r="HJ150" s="373"/>
      <c r="HK150" s="373"/>
      <c r="HL150" s="373"/>
      <c r="HM150" s="373"/>
      <c r="HN150" s="373"/>
      <c r="HO150" s="373"/>
      <c r="HP150" s="373"/>
      <c r="HQ150" s="373"/>
      <c r="HR150" s="373"/>
      <c r="HS150" s="373"/>
      <c r="HT150" s="373"/>
      <c r="HU150" s="373"/>
      <c r="HV150" s="373"/>
      <c r="HW150" s="373"/>
      <c r="HX150" s="373"/>
      <c r="HY150" s="373"/>
      <c r="HZ150" s="373"/>
      <c r="IA150" s="373"/>
      <c r="IB150" s="373"/>
      <c r="IC150" s="373"/>
      <c r="ID150" s="373"/>
      <c r="IE150" s="373"/>
      <c r="IF150" s="373"/>
      <c r="IG150" s="373"/>
      <c r="IH150" s="373"/>
      <c r="II150" s="373"/>
      <c r="IJ150" s="373"/>
      <c r="IK150" s="373"/>
      <c r="IL150" s="373"/>
      <c r="IM150" s="373"/>
      <c r="IN150" s="373"/>
      <c r="IO150" s="373"/>
      <c r="IP150" s="373"/>
      <c r="IQ150" s="373"/>
    </row>
    <row r="151" spans="1:251" ht="9.9499999999999993" customHeight="1">
      <c r="A151" s="417"/>
      <c r="B151" s="413"/>
      <c r="C151" s="392"/>
      <c r="D151" s="392"/>
      <c r="E151" s="393"/>
      <c r="F151" s="368"/>
      <c r="G151" s="356"/>
      <c r="H151" s="356"/>
      <c r="I151" s="356"/>
      <c r="J151" s="373"/>
      <c r="K151" s="373"/>
      <c r="L151" s="373"/>
      <c r="M151" s="373"/>
      <c r="N151" s="373"/>
      <c r="O151" s="373"/>
      <c r="P151" s="373"/>
      <c r="Q151" s="373"/>
      <c r="R151" s="373"/>
      <c r="S151" s="373"/>
      <c r="T151" s="373"/>
      <c r="U151" s="373"/>
      <c r="V151" s="373"/>
      <c r="W151" s="373"/>
      <c r="X151" s="373"/>
      <c r="Y151" s="373"/>
      <c r="Z151" s="373"/>
      <c r="AA151" s="373"/>
      <c r="AB151" s="373"/>
      <c r="AC151" s="373"/>
      <c r="AD151" s="373"/>
      <c r="AE151" s="373"/>
      <c r="AF151" s="373"/>
      <c r="AG151" s="373"/>
      <c r="AH151" s="373"/>
      <c r="AI151" s="373"/>
      <c r="AJ151" s="373"/>
      <c r="AK151" s="373"/>
      <c r="AL151" s="373"/>
      <c r="AM151" s="373"/>
      <c r="AN151" s="373"/>
      <c r="AO151" s="373"/>
      <c r="AP151" s="373"/>
      <c r="AQ151" s="373"/>
      <c r="AR151" s="373"/>
      <c r="AS151" s="373"/>
      <c r="AT151" s="373"/>
      <c r="AU151" s="373"/>
      <c r="AV151" s="373"/>
      <c r="AW151" s="373"/>
      <c r="AX151" s="373"/>
      <c r="AY151" s="373"/>
      <c r="AZ151" s="373"/>
      <c r="BA151" s="373"/>
      <c r="BB151" s="373"/>
      <c r="BC151" s="373"/>
      <c r="BD151" s="373"/>
      <c r="BE151" s="373"/>
      <c r="BF151" s="373"/>
      <c r="BG151" s="373"/>
      <c r="BH151" s="373"/>
      <c r="BI151" s="373"/>
      <c r="BJ151" s="373"/>
      <c r="BK151" s="373"/>
      <c r="BL151" s="373"/>
      <c r="BM151" s="373"/>
      <c r="BN151" s="373"/>
      <c r="BO151" s="373"/>
      <c r="BP151" s="373"/>
      <c r="BQ151" s="373"/>
      <c r="BR151" s="373"/>
      <c r="BS151" s="373"/>
      <c r="BT151" s="373"/>
      <c r="BU151" s="373"/>
      <c r="BV151" s="373"/>
      <c r="BW151" s="373"/>
      <c r="BX151" s="373"/>
      <c r="BY151" s="373"/>
      <c r="BZ151" s="373"/>
      <c r="CA151" s="373"/>
      <c r="CB151" s="373"/>
      <c r="CC151" s="373"/>
      <c r="CD151" s="373"/>
      <c r="CE151" s="373"/>
      <c r="CF151" s="373"/>
      <c r="CG151" s="373"/>
      <c r="CH151" s="373"/>
      <c r="CI151" s="373"/>
      <c r="CJ151" s="373"/>
      <c r="CK151" s="373"/>
      <c r="CL151" s="373"/>
      <c r="CM151" s="373"/>
      <c r="CN151" s="373"/>
      <c r="CO151" s="373"/>
      <c r="CP151" s="373"/>
      <c r="CQ151" s="373"/>
      <c r="CR151" s="373"/>
      <c r="CS151" s="373"/>
      <c r="CT151" s="373"/>
      <c r="CU151" s="373"/>
      <c r="CV151" s="373"/>
      <c r="CW151" s="373"/>
      <c r="CX151" s="373"/>
      <c r="CY151" s="373"/>
      <c r="CZ151" s="373"/>
      <c r="DA151" s="373"/>
      <c r="DB151" s="373"/>
      <c r="DC151" s="373"/>
      <c r="DD151" s="373"/>
      <c r="DE151" s="373"/>
      <c r="DF151" s="373"/>
      <c r="DG151" s="373"/>
      <c r="DH151" s="373"/>
      <c r="DI151" s="373"/>
      <c r="DJ151" s="373"/>
      <c r="DK151" s="373"/>
      <c r="DL151" s="373"/>
      <c r="DM151" s="373"/>
      <c r="DN151" s="373"/>
      <c r="DO151" s="373"/>
      <c r="DP151" s="373"/>
      <c r="DQ151" s="373"/>
      <c r="DR151" s="373"/>
      <c r="DS151" s="373"/>
      <c r="DT151" s="373"/>
      <c r="DU151" s="373"/>
      <c r="DV151" s="373"/>
      <c r="DW151" s="373"/>
      <c r="DX151" s="373"/>
      <c r="DY151" s="373"/>
      <c r="DZ151" s="373"/>
      <c r="EA151" s="373"/>
      <c r="EB151" s="373"/>
      <c r="EC151" s="373"/>
      <c r="ED151" s="373"/>
      <c r="EE151" s="373"/>
      <c r="EF151" s="373"/>
      <c r="EG151" s="373"/>
      <c r="EH151" s="373"/>
      <c r="EI151" s="373"/>
      <c r="EJ151" s="373"/>
      <c r="EK151" s="373"/>
      <c r="EL151" s="373"/>
      <c r="EM151" s="373"/>
      <c r="EN151" s="373"/>
      <c r="EO151" s="373"/>
      <c r="EP151" s="373"/>
      <c r="EQ151" s="373"/>
      <c r="ER151" s="373"/>
      <c r="ES151" s="373"/>
      <c r="ET151" s="373"/>
      <c r="EU151" s="373"/>
      <c r="EV151" s="373"/>
      <c r="EW151" s="373"/>
      <c r="EX151" s="373"/>
      <c r="EY151" s="373"/>
      <c r="EZ151" s="373"/>
      <c r="FA151" s="373"/>
      <c r="FB151" s="373"/>
      <c r="FC151" s="373"/>
      <c r="FD151" s="373"/>
      <c r="FE151" s="373"/>
      <c r="FF151" s="373"/>
      <c r="FG151" s="373"/>
      <c r="FH151" s="373"/>
      <c r="FI151" s="373"/>
      <c r="FJ151" s="373"/>
      <c r="FK151" s="373"/>
      <c r="FL151" s="373"/>
      <c r="FM151" s="373"/>
      <c r="FN151" s="373"/>
      <c r="FO151" s="373"/>
      <c r="FP151" s="373"/>
      <c r="FQ151" s="373"/>
      <c r="FR151" s="373"/>
      <c r="FS151" s="373"/>
      <c r="FT151" s="373"/>
      <c r="FU151" s="373"/>
      <c r="FV151" s="373"/>
      <c r="FW151" s="373"/>
      <c r="FX151" s="373"/>
      <c r="FY151" s="373"/>
      <c r="FZ151" s="373"/>
      <c r="GA151" s="373"/>
      <c r="GB151" s="373"/>
      <c r="GC151" s="373"/>
      <c r="GD151" s="373"/>
      <c r="GE151" s="373"/>
      <c r="GF151" s="373"/>
      <c r="GG151" s="373"/>
      <c r="GH151" s="373"/>
      <c r="GI151" s="373"/>
      <c r="GJ151" s="373"/>
      <c r="GK151" s="373"/>
      <c r="GL151" s="373"/>
      <c r="GM151" s="373"/>
      <c r="GN151" s="373"/>
      <c r="GO151" s="373"/>
      <c r="GP151" s="373"/>
      <c r="GQ151" s="373"/>
      <c r="GR151" s="373"/>
      <c r="GS151" s="373"/>
      <c r="GT151" s="373"/>
      <c r="GU151" s="373"/>
      <c r="GV151" s="373"/>
      <c r="GW151" s="373"/>
      <c r="GX151" s="373"/>
      <c r="GY151" s="373"/>
      <c r="GZ151" s="373"/>
      <c r="HA151" s="373"/>
      <c r="HB151" s="373"/>
      <c r="HC151" s="373"/>
      <c r="HD151" s="373"/>
      <c r="HE151" s="373"/>
      <c r="HF151" s="373"/>
      <c r="HG151" s="373"/>
      <c r="HH151" s="373"/>
      <c r="HI151" s="373"/>
      <c r="HJ151" s="373"/>
      <c r="HK151" s="373"/>
      <c r="HL151" s="373"/>
      <c r="HM151" s="373"/>
      <c r="HN151" s="373"/>
      <c r="HO151" s="373"/>
      <c r="HP151" s="373"/>
      <c r="HQ151" s="373"/>
      <c r="HR151" s="373"/>
      <c r="HS151" s="373"/>
      <c r="HT151" s="373"/>
      <c r="HU151" s="373"/>
      <c r="HV151" s="373"/>
      <c r="HW151" s="373"/>
      <c r="HX151" s="373"/>
      <c r="HY151" s="373"/>
      <c r="HZ151" s="373"/>
      <c r="IA151" s="373"/>
      <c r="IB151" s="373"/>
      <c r="IC151" s="373"/>
      <c r="ID151" s="373"/>
      <c r="IE151" s="373"/>
      <c r="IF151" s="373"/>
      <c r="IG151" s="373"/>
      <c r="IH151" s="373"/>
      <c r="II151" s="373"/>
      <c r="IJ151" s="373"/>
      <c r="IK151" s="373"/>
      <c r="IL151" s="373"/>
      <c r="IM151" s="373"/>
      <c r="IN151" s="373"/>
      <c r="IO151" s="373"/>
      <c r="IP151" s="373"/>
      <c r="IQ151" s="373"/>
    </row>
    <row r="152" spans="1:251">
      <c r="A152" s="416"/>
      <c r="B152" s="391" t="s">
        <v>592</v>
      </c>
      <c r="C152" s="386" t="s">
        <v>421</v>
      </c>
      <c r="D152" s="386" t="s">
        <v>421</v>
      </c>
      <c r="E152" s="400" t="s">
        <v>421</v>
      </c>
      <c r="F152" s="368"/>
      <c r="G152" s="418">
        <f>H152+I152</f>
        <v>596889</v>
      </c>
      <c r="H152" s="356">
        <f>1200+30000+136498+7000+96000+40000+2000+145000+15000+6000+35000+220+63971+4000+15000</f>
        <v>596889</v>
      </c>
      <c r="I152" s="356">
        <v>0</v>
      </c>
      <c r="J152" s="373"/>
      <c r="K152" s="373"/>
      <c r="L152" s="373"/>
      <c r="M152" s="373"/>
      <c r="N152" s="373"/>
      <c r="O152" s="373"/>
      <c r="P152" s="373"/>
      <c r="Q152" s="373"/>
      <c r="R152" s="373"/>
      <c r="S152" s="373"/>
      <c r="T152" s="373"/>
      <c r="U152" s="373"/>
      <c r="V152" s="373"/>
      <c r="W152" s="373"/>
      <c r="X152" s="373"/>
      <c r="Y152" s="373"/>
      <c r="Z152" s="373"/>
      <c r="AA152" s="373"/>
      <c r="AB152" s="373"/>
      <c r="AC152" s="373"/>
      <c r="AD152" s="373"/>
      <c r="AE152" s="373"/>
      <c r="AF152" s="373"/>
      <c r="AG152" s="373"/>
      <c r="AH152" s="373"/>
      <c r="AI152" s="373"/>
      <c r="AJ152" s="373"/>
      <c r="AK152" s="373"/>
      <c r="AL152" s="373"/>
      <c r="AM152" s="373"/>
      <c r="AN152" s="373"/>
      <c r="AO152" s="373"/>
      <c r="AP152" s="373"/>
      <c r="AQ152" s="373"/>
      <c r="AR152" s="373"/>
      <c r="AS152" s="373"/>
      <c r="AT152" s="373"/>
      <c r="AU152" s="373"/>
      <c r="AV152" s="373"/>
      <c r="AW152" s="373"/>
      <c r="AX152" s="373"/>
      <c r="AY152" s="373"/>
      <c r="AZ152" s="373"/>
      <c r="BA152" s="373"/>
      <c r="BB152" s="373"/>
      <c r="BC152" s="373"/>
      <c r="BD152" s="373"/>
      <c r="BE152" s="373"/>
      <c r="BF152" s="373"/>
      <c r="BG152" s="373"/>
      <c r="BH152" s="373"/>
      <c r="BI152" s="373"/>
      <c r="BJ152" s="373"/>
      <c r="BK152" s="373"/>
      <c r="BL152" s="373"/>
      <c r="BM152" s="373"/>
      <c r="BN152" s="373"/>
      <c r="BO152" s="373"/>
      <c r="BP152" s="373"/>
      <c r="BQ152" s="373"/>
      <c r="BR152" s="373"/>
      <c r="BS152" s="373"/>
      <c r="BT152" s="373"/>
      <c r="BU152" s="373"/>
      <c r="BV152" s="373"/>
      <c r="BW152" s="373"/>
      <c r="BX152" s="373"/>
      <c r="BY152" s="373"/>
      <c r="BZ152" s="373"/>
      <c r="CA152" s="373"/>
      <c r="CB152" s="373"/>
      <c r="CC152" s="373"/>
      <c r="CD152" s="373"/>
      <c r="CE152" s="373"/>
      <c r="CF152" s="373"/>
      <c r="CG152" s="373"/>
      <c r="CH152" s="373"/>
      <c r="CI152" s="373"/>
      <c r="CJ152" s="373"/>
      <c r="CK152" s="373"/>
      <c r="CL152" s="373"/>
      <c r="CM152" s="373"/>
      <c r="CN152" s="373"/>
      <c r="CO152" s="373"/>
      <c r="CP152" s="373"/>
      <c r="CQ152" s="373"/>
      <c r="CR152" s="373"/>
      <c r="CS152" s="373"/>
      <c r="CT152" s="373"/>
      <c r="CU152" s="373"/>
      <c r="CV152" s="373"/>
      <c r="CW152" s="373"/>
      <c r="CX152" s="373"/>
      <c r="CY152" s="373"/>
      <c r="CZ152" s="373"/>
      <c r="DA152" s="373"/>
      <c r="DB152" s="373"/>
      <c r="DC152" s="373"/>
      <c r="DD152" s="373"/>
      <c r="DE152" s="373"/>
      <c r="DF152" s="373"/>
      <c r="DG152" s="373"/>
      <c r="DH152" s="373"/>
      <c r="DI152" s="373"/>
      <c r="DJ152" s="373"/>
      <c r="DK152" s="373"/>
      <c r="DL152" s="373"/>
      <c r="DM152" s="373"/>
      <c r="DN152" s="373"/>
      <c r="DO152" s="373"/>
      <c r="DP152" s="373"/>
      <c r="DQ152" s="373"/>
      <c r="DR152" s="373"/>
      <c r="DS152" s="373"/>
      <c r="DT152" s="373"/>
      <c r="DU152" s="373"/>
      <c r="DV152" s="373"/>
      <c r="DW152" s="373"/>
      <c r="DX152" s="373"/>
      <c r="DY152" s="373"/>
      <c r="DZ152" s="373"/>
      <c r="EA152" s="373"/>
      <c r="EB152" s="373"/>
      <c r="EC152" s="373"/>
      <c r="ED152" s="373"/>
      <c r="EE152" s="373"/>
      <c r="EF152" s="373"/>
      <c r="EG152" s="373"/>
      <c r="EH152" s="373"/>
      <c r="EI152" s="373"/>
      <c r="EJ152" s="373"/>
      <c r="EK152" s="373"/>
      <c r="EL152" s="373"/>
      <c r="EM152" s="373"/>
      <c r="EN152" s="373"/>
      <c r="EO152" s="373"/>
      <c r="EP152" s="373"/>
      <c r="EQ152" s="373"/>
      <c r="ER152" s="373"/>
      <c r="ES152" s="373"/>
      <c r="ET152" s="373"/>
      <c r="EU152" s="373"/>
      <c r="EV152" s="373"/>
      <c r="EW152" s="373"/>
      <c r="EX152" s="373"/>
      <c r="EY152" s="373"/>
      <c r="EZ152" s="373"/>
      <c r="FA152" s="373"/>
      <c r="FB152" s="373"/>
      <c r="FC152" s="373"/>
      <c r="FD152" s="373"/>
      <c r="FE152" s="373"/>
      <c r="FF152" s="373"/>
      <c r="FG152" s="373"/>
      <c r="FH152" s="373"/>
      <c r="FI152" s="373"/>
      <c r="FJ152" s="373"/>
      <c r="FK152" s="373"/>
      <c r="FL152" s="373"/>
      <c r="FM152" s="373"/>
      <c r="FN152" s="373"/>
      <c r="FO152" s="373"/>
      <c r="FP152" s="373"/>
      <c r="FQ152" s="373"/>
      <c r="FR152" s="373"/>
      <c r="FS152" s="373"/>
      <c r="FT152" s="373"/>
      <c r="FU152" s="373"/>
      <c r="FV152" s="373"/>
      <c r="FW152" s="373"/>
      <c r="FX152" s="373"/>
      <c r="FY152" s="373"/>
      <c r="FZ152" s="373"/>
      <c r="GA152" s="373"/>
      <c r="GB152" s="373"/>
      <c r="GC152" s="373"/>
      <c r="GD152" s="373"/>
      <c r="GE152" s="373"/>
      <c r="GF152" s="373"/>
      <c r="GG152" s="373"/>
      <c r="GH152" s="373"/>
      <c r="GI152" s="373"/>
      <c r="GJ152" s="373"/>
      <c r="GK152" s="373"/>
      <c r="GL152" s="373"/>
      <c r="GM152" s="373"/>
      <c r="GN152" s="373"/>
      <c r="GO152" s="373"/>
      <c r="GP152" s="373"/>
      <c r="GQ152" s="373"/>
      <c r="GR152" s="373"/>
      <c r="GS152" s="373"/>
      <c r="GT152" s="373"/>
      <c r="GU152" s="373"/>
      <c r="GV152" s="373"/>
      <c r="GW152" s="373"/>
      <c r="GX152" s="373"/>
      <c r="GY152" s="373"/>
      <c r="GZ152" s="373"/>
      <c r="HA152" s="373"/>
      <c r="HB152" s="373"/>
      <c r="HC152" s="373"/>
      <c r="HD152" s="373"/>
      <c r="HE152" s="373"/>
      <c r="HF152" s="373"/>
      <c r="HG152" s="373"/>
      <c r="HH152" s="373"/>
      <c r="HI152" s="373"/>
      <c r="HJ152" s="373"/>
      <c r="HK152" s="373"/>
      <c r="HL152" s="373"/>
      <c r="HM152" s="373"/>
      <c r="HN152" s="373"/>
      <c r="HO152" s="373"/>
      <c r="HP152" s="373"/>
      <c r="HQ152" s="373"/>
      <c r="HR152" s="373"/>
      <c r="HS152" s="373"/>
      <c r="HT152" s="373"/>
      <c r="HU152" s="373"/>
      <c r="HV152" s="373"/>
      <c r="HW152" s="373"/>
      <c r="HX152" s="373"/>
      <c r="HY152" s="373"/>
      <c r="HZ152" s="373"/>
      <c r="IA152" s="373"/>
      <c r="IB152" s="373"/>
      <c r="IC152" s="373"/>
      <c r="ID152" s="373"/>
      <c r="IE152" s="373"/>
      <c r="IF152" s="373"/>
      <c r="IG152" s="373"/>
      <c r="IH152" s="373"/>
      <c r="II152" s="373"/>
      <c r="IJ152" s="373"/>
      <c r="IK152" s="373"/>
      <c r="IL152" s="373"/>
      <c r="IM152" s="373"/>
      <c r="IN152" s="373"/>
      <c r="IO152" s="373"/>
      <c r="IP152" s="373"/>
      <c r="IQ152" s="373"/>
    </row>
    <row r="153" spans="1:251" ht="9.9499999999999993" customHeight="1">
      <c r="A153" s="419"/>
      <c r="B153" s="420"/>
      <c r="C153" s="420"/>
      <c r="D153" s="420"/>
      <c r="E153" s="421"/>
      <c r="F153" s="368"/>
      <c r="G153" s="366"/>
      <c r="H153" s="366"/>
      <c r="I153" s="366"/>
      <c r="J153" s="373"/>
      <c r="K153" s="373"/>
      <c r="L153" s="373"/>
      <c r="M153" s="373"/>
      <c r="N153" s="373"/>
      <c r="O153" s="373"/>
      <c r="P153" s="373"/>
      <c r="Q153" s="373"/>
      <c r="R153" s="373"/>
      <c r="S153" s="373"/>
      <c r="T153" s="373"/>
      <c r="U153" s="373"/>
      <c r="V153" s="373"/>
      <c r="W153" s="373"/>
      <c r="X153" s="373"/>
      <c r="Y153" s="373"/>
      <c r="Z153" s="373"/>
      <c r="AA153" s="373"/>
      <c r="AB153" s="373"/>
      <c r="AC153" s="373"/>
      <c r="AD153" s="373"/>
      <c r="AE153" s="373"/>
      <c r="AF153" s="373"/>
      <c r="AG153" s="373"/>
      <c r="AH153" s="373"/>
      <c r="AI153" s="373"/>
      <c r="AJ153" s="373"/>
      <c r="AK153" s="373"/>
      <c r="AL153" s="373"/>
      <c r="AM153" s="373"/>
      <c r="AN153" s="373"/>
      <c r="AO153" s="373"/>
      <c r="AP153" s="373"/>
      <c r="AQ153" s="373"/>
      <c r="AR153" s="373"/>
      <c r="AS153" s="373"/>
      <c r="AT153" s="373"/>
      <c r="AU153" s="373"/>
      <c r="AV153" s="373"/>
      <c r="AW153" s="373"/>
      <c r="AX153" s="373"/>
      <c r="AY153" s="373"/>
      <c r="AZ153" s="373"/>
      <c r="BA153" s="373"/>
      <c r="BB153" s="373"/>
      <c r="BC153" s="373"/>
      <c r="BD153" s="373"/>
      <c r="BE153" s="373"/>
      <c r="BF153" s="373"/>
      <c r="BG153" s="373"/>
      <c r="BH153" s="373"/>
      <c r="BI153" s="373"/>
      <c r="BJ153" s="373"/>
      <c r="BK153" s="373"/>
      <c r="BL153" s="373"/>
      <c r="BM153" s="373"/>
      <c r="BN153" s="373"/>
      <c r="BO153" s="373"/>
      <c r="BP153" s="373"/>
      <c r="BQ153" s="373"/>
      <c r="BR153" s="373"/>
      <c r="BS153" s="373"/>
      <c r="BT153" s="373"/>
      <c r="BU153" s="373"/>
      <c r="BV153" s="373"/>
      <c r="BW153" s="373"/>
      <c r="BX153" s="373"/>
      <c r="BY153" s="373"/>
      <c r="BZ153" s="373"/>
      <c r="CA153" s="373"/>
      <c r="CB153" s="373"/>
      <c r="CC153" s="373"/>
      <c r="CD153" s="373"/>
      <c r="CE153" s="373"/>
      <c r="CF153" s="373"/>
      <c r="CG153" s="373"/>
      <c r="CH153" s="373"/>
      <c r="CI153" s="373"/>
      <c r="CJ153" s="373"/>
      <c r="CK153" s="373"/>
      <c r="CL153" s="373"/>
      <c r="CM153" s="373"/>
      <c r="CN153" s="373"/>
      <c r="CO153" s="373"/>
      <c r="CP153" s="373"/>
      <c r="CQ153" s="373"/>
      <c r="CR153" s="373"/>
      <c r="CS153" s="373"/>
      <c r="CT153" s="373"/>
      <c r="CU153" s="373"/>
      <c r="CV153" s="373"/>
      <c r="CW153" s="373"/>
      <c r="CX153" s="373"/>
      <c r="CY153" s="373"/>
      <c r="CZ153" s="373"/>
      <c r="DA153" s="373"/>
      <c r="DB153" s="373"/>
      <c r="DC153" s="373"/>
      <c r="DD153" s="373"/>
      <c r="DE153" s="373"/>
      <c r="DF153" s="373"/>
      <c r="DG153" s="373"/>
      <c r="DH153" s="373"/>
      <c r="DI153" s="373"/>
      <c r="DJ153" s="373"/>
      <c r="DK153" s="373"/>
      <c r="DL153" s="373"/>
      <c r="DM153" s="373"/>
      <c r="DN153" s="373"/>
      <c r="DO153" s="373"/>
      <c r="DP153" s="373"/>
      <c r="DQ153" s="373"/>
      <c r="DR153" s="373"/>
      <c r="DS153" s="373"/>
      <c r="DT153" s="373"/>
      <c r="DU153" s="373"/>
      <c r="DV153" s="373"/>
      <c r="DW153" s="373"/>
      <c r="DX153" s="373"/>
      <c r="DY153" s="373"/>
      <c r="DZ153" s="373"/>
      <c r="EA153" s="373"/>
      <c r="EB153" s="373"/>
      <c r="EC153" s="373"/>
      <c r="ED153" s="373"/>
      <c r="EE153" s="373"/>
      <c r="EF153" s="373"/>
      <c r="EG153" s="373"/>
      <c r="EH153" s="373"/>
      <c r="EI153" s="373"/>
      <c r="EJ153" s="373"/>
      <c r="EK153" s="373"/>
      <c r="EL153" s="373"/>
      <c r="EM153" s="373"/>
      <c r="EN153" s="373"/>
      <c r="EO153" s="373"/>
      <c r="EP153" s="373"/>
      <c r="EQ153" s="373"/>
      <c r="ER153" s="373"/>
      <c r="ES153" s="373"/>
      <c r="ET153" s="373"/>
      <c r="EU153" s="373"/>
      <c r="EV153" s="373"/>
      <c r="EW153" s="373"/>
      <c r="EX153" s="373"/>
      <c r="EY153" s="373"/>
      <c r="EZ153" s="373"/>
      <c r="FA153" s="373"/>
      <c r="FB153" s="373"/>
      <c r="FC153" s="373"/>
      <c r="FD153" s="373"/>
      <c r="FE153" s="373"/>
      <c r="FF153" s="373"/>
      <c r="FG153" s="373"/>
      <c r="FH153" s="373"/>
      <c r="FI153" s="373"/>
      <c r="FJ153" s="373"/>
      <c r="FK153" s="373"/>
      <c r="FL153" s="373"/>
      <c r="FM153" s="373"/>
      <c r="FN153" s="373"/>
      <c r="FO153" s="373"/>
      <c r="FP153" s="373"/>
      <c r="FQ153" s="373"/>
      <c r="FR153" s="373"/>
      <c r="FS153" s="373"/>
      <c r="FT153" s="373"/>
      <c r="FU153" s="373"/>
      <c r="FV153" s="373"/>
      <c r="FW153" s="373"/>
      <c r="FX153" s="373"/>
      <c r="FY153" s="373"/>
      <c r="FZ153" s="373"/>
      <c r="GA153" s="373"/>
      <c r="GB153" s="373"/>
      <c r="GC153" s="373"/>
      <c r="GD153" s="373"/>
      <c r="GE153" s="373"/>
      <c r="GF153" s="373"/>
      <c r="GG153" s="373"/>
      <c r="GH153" s="373"/>
      <c r="GI153" s="373"/>
      <c r="GJ153" s="373"/>
      <c r="GK153" s="373"/>
      <c r="GL153" s="373"/>
      <c r="GM153" s="373"/>
      <c r="GN153" s="373"/>
      <c r="GO153" s="373"/>
      <c r="GP153" s="373"/>
      <c r="GQ153" s="373"/>
      <c r="GR153" s="373"/>
      <c r="GS153" s="373"/>
      <c r="GT153" s="373"/>
      <c r="GU153" s="373"/>
      <c r="GV153" s="373"/>
      <c r="GW153" s="373"/>
      <c r="GX153" s="373"/>
      <c r="GY153" s="373"/>
      <c r="GZ153" s="373"/>
      <c r="HA153" s="373"/>
      <c r="HB153" s="373"/>
      <c r="HC153" s="373"/>
      <c r="HD153" s="373"/>
      <c r="HE153" s="373"/>
      <c r="HF153" s="373"/>
      <c r="HG153" s="373"/>
      <c r="HH153" s="373"/>
      <c r="HI153" s="373"/>
      <c r="HJ153" s="373"/>
      <c r="HK153" s="373"/>
      <c r="HL153" s="373"/>
      <c r="HM153" s="373"/>
      <c r="HN153" s="373"/>
      <c r="HO153" s="373"/>
      <c r="HP153" s="373"/>
      <c r="HQ153" s="373"/>
      <c r="HR153" s="373"/>
      <c r="HS153" s="373"/>
      <c r="HT153" s="373"/>
      <c r="HU153" s="373"/>
      <c r="HV153" s="373"/>
      <c r="HW153" s="373"/>
      <c r="HX153" s="373"/>
      <c r="HY153" s="373"/>
      <c r="HZ153" s="373"/>
      <c r="IA153" s="373"/>
      <c r="IB153" s="373"/>
      <c r="IC153" s="373"/>
      <c r="ID153" s="373"/>
      <c r="IE153" s="373"/>
      <c r="IF153" s="373"/>
      <c r="IG153" s="373"/>
      <c r="IH153" s="373"/>
      <c r="II153" s="373"/>
      <c r="IJ153" s="373"/>
      <c r="IK153" s="373"/>
      <c r="IL153" s="373"/>
      <c r="IM153" s="373"/>
      <c r="IN153" s="373"/>
      <c r="IO153" s="373"/>
      <c r="IP153" s="373"/>
      <c r="IQ153" s="373"/>
    </row>
    <row r="154" spans="1:251" ht="30">
      <c r="A154" s="280" t="s">
        <v>38</v>
      </c>
      <c r="B154" s="362" t="s">
        <v>39</v>
      </c>
      <c r="C154" s="283">
        <f>C164+C174+C188+C156</f>
        <v>1392950</v>
      </c>
      <c r="D154" s="283">
        <f>D164+D174+D188+D156</f>
        <v>1190000</v>
      </c>
      <c r="E154" s="363">
        <f>E164+E174+E188+E156</f>
        <v>202950</v>
      </c>
      <c r="F154" s="360"/>
      <c r="G154" s="283">
        <f>G164+G174+G188+G156</f>
        <v>1392950</v>
      </c>
      <c r="H154" s="283">
        <f>H164+H174+H188+H156</f>
        <v>1190000</v>
      </c>
      <c r="I154" s="283">
        <f>I164+I174+I188+I156</f>
        <v>202950</v>
      </c>
      <c r="J154" s="285"/>
      <c r="K154" s="285"/>
      <c r="L154" s="285"/>
      <c r="M154" s="285"/>
      <c r="N154" s="285"/>
      <c r="O154" s="285"/>
      <c r="P154" s="285"/>
      <c r="Q154" s="285"/>
      <c r="R154" s="285"/>
      <c r="S154" s="285"/>
      <c r="T154" s="285"/>
      <c r="U154" s="285"/>
      <c r="V154" s="285"/>
      <c r="W154" s="285"/>
      <c r="X154" s="285"/>
      <c r="Y154" s="285"/>
      <c r="Z154" s="285"/>
      <c r="AA154" s="285"/>
      <c r="AB154" s="285"/>
      <c r="AC154" s="285"/>
      <c r="AD154" s="285"/>
      <c r="AE154" s="285"/>
      <c r="AF154" s="285"/>
      <c r="AG154" s="285"/>
      <c r="AH154" s="285"/>
      <c r="AI154" s="285"/>
      <c r="AJ154" s="285"/>
      <c r="AK154" s="285"/>
      <c r="AL154" s="285"/>
      <c r="AM154" s="285"/>
      <c r="AN154" s="285"/>
      <c r="AO154" s="285"/>
      <c r="AP154" s="285"/>
      <c r="AQ154" s="285"/>
      <c r="AR154" s="285"/>
      <c r="AS154" s="285"/>
      <c r="AT154" s="285"/>
      <c r="AU154" s="285"/>
      <c r="AV154" s="285"/>
      <c r="AW154" s="285"/>
      <c r="AX154" s="285"/>
      <c r="AY154" s="285"/>
      <c r="AZ154" s="285"/>
      <c r="BA154" s="285"/>
      <c r="BB154" s="285"/>
      <c r="BC154" s="285"/>
      <c r="BD154" s="285"/>
      <c r="BE154" s="285"/>
      <c r="BF154" s="285"/>
      <c r="BG154" s="285"/>
      <c r="BH154" s="285"/>
      <c r="BI154" s="285"/>
      <c r="BJ154" s="285"/>
      <c r="BK154" s="285"/>
      <c r="BL154" s="285"/>
      <c r="BM154" s="285"/>
      <c r="BN154" s="285"/>
      <c r="BO154" s="285"/>
      <c r="BP154" s="285"/>
      <c r="BQ154" s="285"/>
      <c r="BR154" s="285"/>
      <c r="BS154" s="285"/>
      <c r="BT154" s="285"/>
      <c r="BU154" s="285"/>
      <c r="BV154" s="285"/>
      <c r="BW154" s="285"/>
      <c r="BX154" s="285"/>
      <c r="BY154" s="285"/>
      <c r="BZ154" s="285"/>
      <c r="CA154" s="285"/>
      <c r="CB154" s="285"/>
      <c r="CC154" s="285"/>
      <c r="CD154" s="285"/>
      <c r="CE154" s="285"/>
      <c r="CF154" s="285"/>
      <c r="CG154" s="285"/>
      <c r="CH154" s="285"/>
      <c r="CI154" s="285"/>
      <c r="CJ154" s="285"/>
      <c r="CK154" s="285"/>
      <c r="CL154" s="285"/>
      <c r="CM154" s="285"/>
      <c r="CN154" s="285"/>
      <c r="CO154" s="285"/>
      <c r="CP154" s="285"/>
      <c r="CQ154" s="285"/>
      <c r="CR154" s="285"/>
      <c r="CS154" s="285"/>
      <c r="CT154" s="285"/>
      <c r="CU154" s="285"/>
      <c r="CV154" s="285"/>
      <c r="CW154" s="285"/>
      <c r="CX154" s="285"/>
      <c r="CY154" s="285"/>
      <c r="CZ154" s="285"/>
      <c r="DA154" s="285"/>
      <c r="DB154" s="285"/>
      <c r="DC154" s="285"/>
      <c r="DD154" s="285"/>
      <c r="DE154" s="285"/>
      <c r="DF154" s="285"/>
      <c r="DG154" s="285"/>
      <c r="DH154" s="285"/>
      <c r="DI154" s="285"/>
      <c r="DJ154" s="285"/>
      <c r="DK154" s="285"/>
      <c r="DL154" s="285"/>
      <c r="DM154" s="285"/>
      <c r="DN154" s="285"/>
      <c r="DO154" s="285"/>
      <c r="DP154" s="285"/>
      <c r="DQ154" s="285"/>
      <c r="DR154" s="285"/>
      <c r="DS154" s="285"/>
      <c r="DT154" s="285"/>
      <c r="DU154" s="285"/>
      <c r="DV154" s="285"/>
      <c r="DW154" s="285"/>
      <c r="DX154" s="285"/>
      <c r="DY154" s="285"/>
      <c r="DZ154" s="285"/>
      <c r="EA154" s="285"/>
      <c r="EB154" s="285"/>
      <c r="EC154" s="285"/>
      <c r="ED154" s="285"/>
      <c r="EE154" s="285"/>
      <c r="EF154" s="285"/>
      <c r="EG154" s="285"/>
      <c r="EH154" s="285"/>
      <c r="EI154" s="285"/>
      <c r="EJ154" s="285"/>
      <c r="EK154" s="285"/>
      <c r="EL154" s="285"/>
      <c r="EM154" s="285"/>
      <c r="EN154" s="285"/>
      <c r="EO154" s="285"/>
      <c r="EP154" s="285"/>
      <c r="EQ154" s="285"/>
      <c r="ER154" s="285"/>
      <c r="ES154" s="285"/>
      <c r="ET154" s="285"/>
      <c r="EU154" s="285"/>
      <c r="EV154" s="285"/>
      <c r="EW154" s="285"/>
      <c r="EX154" s="285"/>
      <c r="EY154" s="285"/>
      <c r="EZ154" s="285"/>
      <c r="FA154" s="285"/>
      <c r="FB154" s="285"/>
      <c r="FC154" s="285"/>
      <c r="FD154" s="285"/>
      <c r="FE154" s="285"/>
      <c r="FF154" s="285"/>
      <c r="FG154" s="285"/>
      <c r="FH154" s="285"/>
      <c r="FI154" s="285"/>
      <c r="FJ154" s="285"/>
      <c r="FK154" s="285"/>
      <c r="FL154" s="285"/>
      <c r="FM154" s="285"/>
      <c r="FN154" s="285"/>
      <c r="FO154" s="285"/>
      <c r="FP154" s="285"/>
      <c r="FQ154" s="285"/>
      <c r="FR154" s="285"/>
      <c r="FS154" s="285"/>
      <c r="FT154" s="285"/>
      <c r="FU154" s="285"/>
      <c r="FV154" s="285"/>
      <c r="FW154" s="285"/>
      <c r="FX154" s="285"/>
      <c r="FY154" s="285"/>
      <c r="FZ154" s="285"/>
      <c r="GA154" s="285"/>
      <c r="GB154" s="285"/>
      <c r="GC154" s="285"/>
      <c r="GD154" s="285"/>
      <c r="GE154" s="285"/>
      <c r="GF154" s="285"/>
      <c r="GG154" s="285"/>
      <c r="GH154" s="285"/>
      <c r="GI154" s="285"/>
      <c r="GJ154" s="285"/>
      <c r="GK154" s="285"/>
      <c r="GL154" s="285"/>
      <c r="GM154" s="285"/>
      <c r="GN154" s="285"/>
      <c r="GO154" s="285"/>
      <c r="GP154" s="285"/>
      <c r="GQ154" s="285"/>
      <c r="GR154" s="285"/>
      <c r="GS154" s="285"/>
      <c r="GT154" s="285"/>
      <c r="GU154" s="285"/>
      <c r="GV154" s="285"/>
      <c r="GW154" s="285"/>
      <c r="GX154" s="285"/>
      <c r="GY154" s="285"/>
      <c r="GZ154" s="285"/>
      <c r="HA154" s="285"/>
      <c r="HB154" s="285"/>
      <c r="HC154" s="285"/>
      <c r="HD154" s="285"/>
      <c r="HE154" s="285"/>
      <c r="HF154" s="285"/>
      <c r="HG154" s="285"/>
      <c r="HH154" s="285"/>
      <c r="HI154" s="285"/>
      <c r="HJ154" s="285"/>
      <c r="HK154" s="285"/>
      <c r="HL154" s="285"/>
      <c r="HM154" s="285"/>
      <c r="HN154" s="285"/>
      <c r="HO154" s="285"/>
      <c r="HP154" s="285"/>
      <c r="HQ154" s="285"/>
      <c r="HR154" s="285"/>
      <c r="HS154" s="285"/>
      <c r="HT154" s="285"/>
      <c r="HU154" s="285"/>
      <c r="HV154" s="285"/>
      <c r="HW154" s="285"/>
      <c r="HX154" s="285"/>
      <c r="HY154" s="285"/>
      <c r="HZ154" s="285"/>
      <c r="IA154" s="285"/>
      <c r="IB154" s="285"/>
      <c r="IC154" s="285"/>
      <c r="ID154" s="285"/>
      <c r="IE154" s="285"/>
      <c r="IF154" s="285"/>
      <c r="IG154" s="285"/>
      <c r="IH154" s="285"/>
      <c r="II154" s="285"/>
      <c r="IJ154" s="285"/>
      <c r="IK154" s="285"/>
      <c r="IL154" s="285"/>
      <c r="IM154" s="285"/>
      <c r="IN154" s="285"/>
      <c r="IO154" s="285"/>
      <c r="IP154" s="285"/>
      <c r="IQ154" s="285"/>
    </row>
    <row r="155" spans="1:251" ht="9.9499999999999993" customHeight="1">
      <c r="A155" s="422"/>
      <c r="B155" s="423"/>
      <c r="C155" s="424"/>
      <c r="D155" s="424"/>
      <c r="E155" s="425"/>
      <c r="F155" s="368"/>
      <c r="G155" s="283"/>
      <c r="H155" s="283"/>
      <c r="I155" s="283"/>
      <c r="J155" s="285"/>
      <c r="K155" s="285"/>
      <c r="L155" s="285"/>
      <c r="M155" s="285"/>
      <c r="N155" s="285"/>
      <c r="O155" s="285"/>
      <c r="P155" s="285"/>
      <c r="Q155" s="285"/>
      <c r="R155" s="285"/>
      <c r="S155" s="285"/>
      <c r="T155" s="285"/>
      <c r="U155" s="285"/>
      <c r="V155" s="285"/>
      <c r="W155" s="285"/>
      <c r="X155" s="285"/>
      <c r="Y155" s="285"/>
      <c r="Z155" s="285"/>
      <c r="AA155" s="285"/>
      <c r="AB155" s="285"/>
      <c r="AC155" s="285"/>
      <c r="AD155" s="285"/>
      <c r="AE155" s="285"/>
      <c r="AF155" s="285"/>
      <c r="AG155" s="285"/>
      <c r="AH155" s="285"/>
      <c r="AI155" s="285"/>
      <c r="AJ155" s="285"/>
      <c r="AK155" s="285"/>
      <c r="AL155" s="285"/>
      <c r="AM155" s="285"/>
      <c r="AN155" s="285"/>
      <c r="AO155" s="285"/>
      <c r="AP155" s="285"/>
      <c r="AQ155" s="285"/>
      <c r="AR155" s="285"/>
      <c r="AS155" s="285"/>
      <c r="AT155" s="285"/>
      <c r="AU155" s="285"/>
      <c r="AV155" s="285"/>
      <c r="AW155" s="285"/>
      <c r="AX155" s="285"/>
      <c r="AY155" s="285"/>
      <c r="AZ155" s="285"/>
      <c r="BA155" s="285"/>
      <c r="BB155" s="285"/>
      <c r="BC155" s="285"/>
      <c r="BD155" s="285"/>
      <c r="BE155" s="285"/>
      <c r="BF155" s="285"/>
      <c r="BG155" s="285"/>
      <c r="BH155" s="285"/>
      <c r="BI155" s="285"/>
      <c r="BJ155" s="285"/>
      <c r="BK155" s="285"/>
      <c r="BL155" s="285"/>
      <c r="BM155" s="285"/>
      <c r="BN155" s="285"/>
      <c r="BO155" s="285"/>
      <c r="BP155" s="285"/>
      <c r="BQ155" s="285"/>
      <c r="BR155" s="285"/>
      <c r="BS155" s="285"/>
      <c r="BT155" s="285"/>
      <c r="BU155" s="285"/>
      <c r="BV155" s="285"/>
      <c r="BW155" s="285"/>
      <c r="BX155" s="285"/>
      <c r="BY155" s="285"/>
      <c r="BZ155" s="285"/>
      <c r="CA155" s="285"/>
      <c r="CB155" s="285"/>
      <c r="CC155" s="285"/>
      <c r="CD155" s="285"/>
      <c r="CE155" s="285"/>
      <c r="CF155" s="285"/>
      <c r="CG155" s="285"/>
      <c r="CH155" s="285"/>
      <c r="CI155" s="285"/>
      <c r="CJ155" s="285"/>
      <c r="CK155" s="285"/>
      <c r="CL155" s="285"/>
      <c r="CM155" s="285"/>
      <c r="CN155" s="285"/>
      <c r="CO155" s="285"/>
      <c r="CP155" s="285"/>
      <c r="CQ155" s="285"/>
      <c r="CR155" s="285"/>
      <c r="CS155" s="285"/>
      <c r="CT155" s="285"/>
      <c r="CU155" s="285"/>
      <c r="CV155" s="285"/>
      <c r="CW155" s="285"/>
      <c r="CX155" s="285"/>
      <c r="CY155" s="285"/>
      <c r="CZ155" s="285"/>
      <c r="DA155" s="285"/>
      <c r="DB155" s="285"/>
      <c r="DC155" s="285"/>
      <c r="DD155" s="285"/>
      <c r="DE155" s="285"/>
      <c r="DF155" s="285"/>
      <c r="DG155" s="285"/>
      <c r="DH155" s="285"/>
      <c r="DI155" s="285"/>
      <c r="DJ155" s="285"/>
      <c r="DK155" s="285"/>
      <c r="DL155" s="285"/>
      <c r="DM155" s="285"/>
      <c r="DN155" s="285"/>
      <c r="DO155" s="285"/>
      <c r="DP155" s="285"/>
      <c r="DQ155" s="285"/>
      <c r="DR155" s="285"/>
      <c r="DS155" s="285"/>
      <c r="DT155" s="285"/>
      <c r="DU155" s="285"/>
      <c r="DV155" s="285"/>
      <c r="DW155" s="285"/>
      <c r="DX155" s="285"/>
      <c r="DY155" s="285"/>
      <c r="DZ155" s="285"/>
      <c r="EA155" s="285"/>
      <c r="EB155" s="285"/>
      <c r="EC155" s="285"/>
      <c r="ED155" s="285"/>
      <c r="EE155" s="285"/>
      <c r="EF155" s="285"/>
      <c r="EG155" s="285"/>
      <c r="EH155" s="285"/>
      <c r="EI155" s="285"/>
      <c r="EJ155" s="285"/>
      <c r="EK155" s="285"/>
      <c r="EL155" s="285"/>
      <c r="EM155" s="285"/>
      <c r="EN155" s="285"/>
      <c r="EO155" s="285"/>
      <c r="EP155" s="285"/>
      <c r="EQ155" s="285"/>
      <c r="ER155" s="285"/>
      <c r="ES155" s="285"/>
      <c r="ET155" s="285"/>
      <c r="EU155" s="285"/>
      <c r="EV155" s="285"/>
      <c r="EW155" s="285"/>
      <c r="EX155" s="285"/>
      <c r="EY155" s="285"/>
      <c r="EZ155" s="285"/>
      <c r="FA155" s="285"/>
      <c r="FB155" s="285"/>
      <c r="FC155" s="285"/>
      <c r="FD155" s="285"/>
      <c r="FE155" s="285"/>
      <c r="FF155" s="285"/>
      <c r="FG155" s="285"/>
      <c r="FH155" s="285"/>
      <c r="FI155" s="285"/>
      <c r="FJ155" s="285"/>
      <c r="FK155" s="285"/>
      <c r="FL155" s="285"/>
      <c r="FM155" s="285"/>
      <c r="FN155" s="285"/>
      <c r="FO155" s="285"/>
      <c r="FP155" s="285"/>
      <c r="FQ155" s="285"/>
      <c r="FR155" s="285"/>
      <c r="FS155" s="285"/>
      <c r="FT155" s="285"/>
      <c r="FU155" s="285"/>
      <c r="FV155" s="285"/>
      <c r="FW155" s="285"/>
      <c r="FX155" s="285"/>
      <c r="FY155" s="285"/>
      <c r="FZ155" s="285"/>
      <c r="GA155" s="285"/>
      <c r="GB155" s="285"/>
      <c r="GC155" s="285"/>
      <c r="GD155" s="285"/>
      <c r="GE155" s="285"/>
      <c r="GF155" s="285"/>
      <c r="GG155" s="285"/>
      <c r="GH155" s="285"/>
      <c r="GI155" s="285"/>
      <c r="GJ155" s="285"/>
      <c r="GK155" s="285"/>
      <c r="GL155" s="285"/>
      <c r="GM155" s="285"/>
      <c r="GN155" s="285"/>
      <c r="GO155" s="285"/>
      <c r="GP155" s="285"/>
      <c r="GQ155" s="285"/>
      <c r="GR155" s="285"/>
      <c r="GS155" s="285"/>
      <c r="GT155" s="285"/>
      <c r="GU155" s="285"/>
      <c r="GV155" s="285"/>
      <c r="GW155" s="285"/>
      <c r="GX155" s="285"/>
      <c r="GY155" s="285"/>
      <c r="GZ155" s="285"/>
      <c r="HA155" s="285"/>
      <c r="HB155" s="285"/>
      <c r="HC155" s="285"/>
      <c r="HD155" s="285"/>
      <c r="HE155" s="285"/>
      <c r="HF155" s="285"/>
      <c r="HG155" s="285"/>
      <c r="HH155" s="285"/>
      <c r="HI155" s="285"/>
      <c r="HJ155" s="285"/>
      <c r="HK155" s="285"/>
      <c r="HL155" s="285"/>
      <c r="HM155" s="285"/>
      <c r="HN155" s="285"/>
      <c r="HO155" s="285"/>
      <c r="HP155" s="285"/>
      <c r="HQ155" s="285"/>
      <c r="HR155" s="285"/>
      <c r="HS155" s="285"/>
      <c r="HT155" s="285"/>
      <c r="HU155" s="285"/>
      <c r="HV155" s="285"/>
      <c r="HW155" s="285"/>
      <c r="HX155" s="285"/>
      <c r="HY155" s="285"/>
      <c r="HZ155" s="285"/>
      <c r="IA155" s="285"/>
      <c r="IB155" s="285"/>
      <c r="IC155" s="285"/>
      <c r="ID155" s="285"/>
      <c r="IE155" s="285"/>
      <c r="IF155" s="285"/>
      <c r="IG155" s="285"/>
      <c r="IH155" s="285"/>
      <c r="II155" s="285"/>
      <c r="IJ155" s="285"/>
      <c r="IK155" s="285"/>
      <c r="IL155" s="285"/>
      <c r="IM155" s="285"/>
      <c r="IN155" s="285"/>
      <c r="IO155" s="285"/>
      <c r="IP155" s="285"/>
      <c r="IQ155" s="285"/>
    </row>
    <row r="156" spans="1:251">
      <c r="A156" s="369" t="s">
        <v>610</v>
      </c>
      <c r="B156" s="370" t="s">
        <v>98</v>
      </c>
      <c r="C156" s="371">
        <f>C158</f>
        <v>2000</v>
      </c>
      <c r="D156" s="371">
        <f>D158</f>
        <v>2000</v>
      </c>
      <c r="E156" s="372">
        <f>E158</f>
        <v>0</v>
      </c>
      <c r="F156" s="368"/>
      <c r="G156" s="371">
        <f>G158</f>
        <v>2000</v>
      </c>
      <c r="H156" s="371">
        <f>H158</f>
        <v>2000</v>
      </c>
      <c r="I156" s="371">
        <f>I158</f>
        <v>0</v>
      </c>
      <c r="J156" s="373"/>
      <c r="K156" s="373"/>
      <c r="L156" s="373"/>
      <c r="M156" s="373"/>
      <c r="N156" s="373"/>
      <c r="O156" s="373"/>
      <c r="P156" s="373"/>
      <c r="Q156" s="373"/>
      <c r="R156" s="373"/>
      <c r="S156" s="373"/>
      <c r="T156" s="373"/>
      <c r="U156" s="373"/>
      <c r="V156" s="373"/>
      <c r="W156" s="373"/>
      <c r="X156" s="373"/>
      <c r="Y156" s="373"/>
      <c r="Z156" s="373"/>
      <c r="AA156" s="373"/>
      <c r="AB156" s="373"/>
      <c r="AC156" s="373"/>
      <c r="AD156" s="373"/>
      <c r="AE156" s="373"/>
      <c r="AF156" s="373"/>
      <c r="AG156" s="373"/>
      <c r="AH156" s="373"/>
      <c r="AI156" s="373"/>
      <c r="AJ156" s="373"/>
      <c r="AK156" s="373"/>
      <c r="AL156" s="373"/>
      <c r="AM156" s="373"/>
      <c r="AN156" s="373"/>
      <c r="AO156" s="373"/>
      <c r="AP156" s="373"/>
      <c r="AQ156" s="373"/>
      <c r="AR156" s="373"/>
      <c r="AS156" s="373"/>
      <c r="AT156" s="373"/>
      <c r="AU156" s="373"/>
      <c r="AV156" s="373"/>
      <c r="AW156" s="373"/>
      <c r="AX156" s="373"/>
      <c r="AY156" s="373"/>
      <c r="AZ156" s="373"/>
      <c r="BA156" s="373"/>
      <c r="BB156" s="373"/>
      <c r="BC156" s="373"/>
      <c r="BD156" s="373"/>
      <c r="BE156" s="373"/>
      <c r="BF156" s="373"/>
      <c r="BG156" s="373"/>
      <c r="BH156" s="373"/>
      <c r="BI156" s="373"/>
      <c r="BJ156" s="373"/>
      <c r="BK156" s="373"/>
      <c r="BL156" s="373"/>
      <c r="BM156" s="373"/>
      <c r="BN156" s="373"/>
      <c r="BO156" s="373"/>
      <c r="BP156" s="373"/>
      <c r="BQ156" s="373"/>
      <c r="BR156" s="373"/>
      <c r="BS156" s="373"/>
      <c r="BT156" s="373"/>
      <c r="BU156" s="373"/>
      <c r="BV156" s="373"/>
      <c r="BW156" s="373"/>
      <c r="BX156" s="373"/>
      <c r="BY156" s="373"/>
      <c r="BZ156" s="373"/>
      <c r="CA156" s="373"/>
      <c r="CB156" s="373"/>
      <c r="CC156" s="373"/>
      <c r="CD156" s="373"/>
      <c r="CE156" s="373"/>
      <c r="CF156" s="373"/>
      <c r="CG156" s="373"/>
      <c r="CH156" s="373"/>
      <c r="CI156" s="373"/>
      <c r="CJ156" s="373"/>
      <c r="CK156" s="373"/>
      <c r="CL156" s="373"/>
      <c r="CM156" s="373"/>
      <c r="CN156" s="373"/>
      <c r="CO156" s="373"/>
      <c r="CP156" s="373"/>
      <c r="CQ156" s="373"/>
      <c r="CR156" s="373"/>
      <c r="CS156" s="373"/>
      <c r="CT156" s="373"/>
      <c r="CU156" s="373"/>
      <c r="CV156" s="373"/>
      <c r="CW156" s="373"/>
      <c r="CX156" s="373"/>
      <c r="CY156" s="373"/>
      <c r="CZ156" s="373"/>
      <c r="DA156" s="373"/>
      <c r="DB156" s="373"/>
      <c r="DC156" s="373"/>
      <c r="DD156" s="373"/>
      <c r="DE156" s="373"/>
      <c r="DF156" s="373"/>
      <c r="DG156" s="373"/>
      <c r="DH156" s="373"/>
      <c r="DI156" s="373"/>
      <c r="DJ156" s="373"/>
      <c r="DK156" s="373"/>
      <c r="DL156" s="373"/>
      <c r="DM156" s="373"/>
      <c r="DN156" s="373"/>
      <c r="DO156" s="373"/>
      <c r="DP156" s="373"/>
      <c r="DQ156" s="373"/>
      <c r="DR156" s="373"/>
      <c r="DS156" s="373"/>
      <c r="DT156" s="373"/>
      <c r="DU156" s="373"/>
      <c r="DV156" s="373"/>
      <c r="DW156" s="373"/>
      <c r="DX156" s="373"/>
      <c r="DY156" s="373"/>
      <c r="DZ156" s="373"/>
      <c r="EA156" s="373"/>
      <c r="EB156" s="373"/>
      <c r="EC156" s="373"/>
      <c r="ED156" s="373"/>
      <c r="EE156" s="373"/>
      <c r="EF156" s="373"/>
      <c r="EG156" s="373"/>
      <c r="EH156" s="373"/>
      <c r="EI156" s="373"/>
      <c r="EJ156" s="373"/>
      <c r="EK156" s="373"/>
      <c r="EL156" s="373"/>
      <c r="EM156" s="373"/>
      <c r="EN156" s="373"/>
      <c r="EO156" s="373"/>
      <c r="EP156" s="373"/>
      <c r="EQ156" s="373"/>
      <c r="ER156" s="373"/>
      <c r="ES156" s="373"/>
      <c r="ET156" s="373"/>
      <c r="EU156" s="373"/>
      <c r="EV156" s="373"/>
      <c r="EW156" s="373"/>
      <c r="EX156" s="373"/>
      <c r="EY156" s="373"/>
      <c r="EZ156" s="373"/>
      <c r="FA156" s="373"/>
      <c r="FB156" s="373"/>
      <c r="FC156" s="373"/>
      <c r="FD156" s="373"/>
      <c r="FE156" s="373"/>
      <c r="FF156" s="373"/>
      <c r="FG156" s="373"/>
      <c r="FH156" s="373"/>
      <c r="FI156" s="373"/>
      <c r="FJ156" s="373"/>
      <c r="FK156" s="373"/>
      <c r="FL156" s="373"/>
      <c r="FM156" s="373"/>
      <c r="FN156" s="373"/>
      <c r="FO156" s="373"/>
      <c r="FP156" s="373"/>
      <c r="FQ156" s="373"/>
      <c r="FR156" s="373"/>
      <c r="FS156" s="373"/>
      <c r="FT156" s="373"/>
      <c r="FU156" s="373"/>
      <c r="FV156" s="373"/>
      <c r="FW156" s="373"/>
      <c r="FX156" s="373"/>
      <c r="FY156" s="373"/>
      <c r="FZ156" s="373"/>
      <c r="GA156" s="373"/>
      <c r="GB156" s="373"/>
      <c r="GC156" s="373"/>
      <c r="GD156" s="373"/>
      <c r="GE156" s="373"/>
      <c r="GF156" s="373"/>
      <c r="GG156" s="373"/>
      <c r="GH156" s="373"/>
      <c r="GI156" s="373"/>
      <c r="GJ156" s="373"/>
      <c r="GK156" s="373"/>
      <c r="GL156" s="373"/>
      <c r="GM156" s="373"/>
      <c r="GN156" s="373"/>
      <c r="GO156" s="373"/>
      <c r="GP156" s="373"/>
      <c r="GQ156" s="373"/>
      <c r="GR156" s="373"/>
      <c r="GS156" s="373"/>
      <c r="GT156" s="373"/>
      <c r="GU156" s="373"/>
      <c r="GV156" s="373"/>
      <c r="GW156" s="373"/>
      <c r="GX156" s="373"/>
      <c r="GY156" s="373"/>
      <c r="GZ156" s="373"/>
      <c r="HA156" s="373"/>
      <c r="HB156" s="373"/>
      <c r="HC156" s="373"/>
      <c r="HD156" s="373"/>
      <c r="HE156" s="373"/>
      <c r="HF156" s="373"/>
      <c r="HG156" s="373"/>
      <c r="HH156" s="373"/>
      <c r="HI156" s="373"/>
      <c r="HJ156" s="373"/>
      <c r="HK156" s="373"/>
      <c r="HL156" s="373"/>
      <c r="HM156" s="373"/>
      <c r="HN156" s="373"/>
      <c r="HO156" s="373"/>
      <c r="HP156" s="373"/>
      <c r="HQ156" s="373"/>
      <c r="HR156" s="373"/>
      <c r="HS156" s="373"/>
      <c r="HT156" s="373"/>
      <c r="HU156" s="373"/>
      <c r="HV156" s="373"/>
      <c r="HW156" s="373"/>
      <c r="HX156" s="373"/>
      <c r="HY156" s="373"/>
      <c r="HZ156" s="373"/>
      <c r="IA156" s="373"/>
      <c r="IB156" s="373"/>
      <c r="IC156" s="373"/>
      <c r="ID156" s="373"/>
      <c r="IE156" s="373"/>
      <c r="IF156" s="373"/>
      <c r="IG156" s="373"/>
      <c r="IH156" s="373"/>
      <c r="II156" s="373"/>
      <c r="IJ156" s="373"/>
      <c r="IK156" s="373"/>
      <c r="IL156" s="373"/>
      <c r="IM156" s="373"/>
      <c r="IN156" s="373"/>
      <c r="IO156" s="373"/>
      <c r="IP156" s="373"/>
      <c r="IQ156" s="373"/>
    </row>
    <row r="157" spans="1:251" ht="9.9499999999999993" customHeight="1">
      <c r="A157" s="426"/>
      <c r="B157" s="375"/>
      <c r="C157" s="396"/>
      <c r="D157" s="396"/>
      <c r="E157" s="397"/>
      <c r="F157" s="368"/>
      <c r="G157" s="356"/>
      <c r="H157" s="356"/>
      <c r="I157" s="356"/>
    </row>
    <row r="158" spans="1:251">
      <c r="A158" s="1099" t="s">
        <v>611</v>
      </c>
      <c r="B158" s="1099"/>
      <c r="C158" s="378">
        <f>C160</f>
        <v>2000</v>
      </c>
      <c r="D158" s="378">
        <f>D160</f>
        <v>2000</v>
      </c>
      <c r="E158" s="379">
        <f>E160</f>
        <v>0</v>
      </c>
      <c r="F158" s="368"/>
      <c r="G158" s="378">
        <f>G162</f>
        <v>2000</v>
      </c>
      <c r="H158" s="378">
        <f>H162</f>
        <v>2000</v>
      </c>
      <c r="I158" s="378">
        <f>I162</f>
        <v>0</v>
      </c>
      <c r="J158" s="377"/>
      <c r="K158" s="377"/>
      <c r="L158" s="377"/>
      <c r="M158" s="377"/>
      <c r="N158" s="377"/>
      <c r="O158" s="377"/>
      <c r="P158" s="377"/>
      <c r="Q158" s="377"/>
      <c r="R158" s="377"/>
      <c r="S158" s="377"/>
      <c r="T158" s="377"/>
      <c r="U158" s="377"/>
      <c r="V158" s="377"/>
      <c r="W158" s="377"/>
      <c r="X158" s="377"/>
      <c r="Y158" s="377"/>
      <c r="Z158" s="377"/>
      <c r="AA158" s="377"/>
      <c r="AB158" s="377"/>
      <c r="AC158" s="377"/>
      <c r="AD158" s="377"/>
      <c r="AE158" s="377"/>
      <c r="AF158" s="377"/>
      <c r="AG158" s="377"/>
      <c r="AH158" s="377"/>
      <c r="AI158" s="377"/>
      <c r="AJ158" s="377"/>
      <c r="AK158" s="377"/>
      <c r="AL158" s="377"/>
      <c r="AM158" s="377"/>
      <c r="AN158" s="377"/>
      <c r="AO158" s="377"/>
      <c r="AP158" s="377"/>
      <c r="AQ158" s="377"/>
      <c r="AR158" s="377"/>
      <c r="AS158" s="377"/>
      <c r="AT158" s="377"/>
      <c r="AU158" s="377"/>
      <c r="AV158" s="377"/>
      <c r="AW158" s="377"/>
      <c r="AX158" s="377"/>
      <c r="AY158" s="377"/>
      <c r="AZ158" s="377"/>
      <c r="BA158" s="377"/>
      <c r="BB158" s="377"/>
      <c r="BC158" s="377"/>
      <c r="BD158" s="377"/>
      <c r="BE158" s="377"/>
      <c r="BF158" s="377"/>
      <c r="BG158" s="377"/>
      <c r="BH158" s="377"/>
      <c r="BI158" s="377"/>
      <c r="BJ158" s="377"/>
      <c r="BK158" s="377"/>
      <c r="BL158" s="377"/>
      <c r="BM158" s="377"/>
      <c r="BN158" s="377"/>
      <c r="BO158" s="377"/>
      <c r="BP158" s="377"/>
      <c r="BQ158" s="377"/>
      <c r="BR158" s="377"/>
      <c r="BS158" s="377"/>
      <c r="BT158" s="377"/>
      <c r="BU158" s="377"/>
      <c r="BV158" s="377"/>
      <c r="BW158" s="377"/>
      <c r="BX158" s="377"/>
      <c r="BY158" s="377"/>
      <c r="BZ158" s="377"/>
      <c r="CA158" s="377"/>
      <c r="CB158" s="377"/>
      <c r="CC158" s="377"/>
      <c r="CD158" s="377"/>
      <c r="CE158" s="377"/>
      <c r="CF158" s="377"/>
      <c r="CG158" s="377"/>
      <c r="CH158" s="377"/>
      <c r="CI158" s="377"/>
      <c r="CJ158" s="377"/>
      <c r="CK158" s="377"/>
      <c r="CL158" s="377"/>
      <c r="CM158" s="377"/>
      <c r="CN158" s="377"/>
      <c r="CO158" s="377"/>
      <c r="CP158" s="377"/>
      <c r="CQ158" s="377"/>
      <c r="CR158" s="377"/>
      <c r="CS158" s="377"/>
      <c r="CT158" s="377"/>
      <c r="CU158" s="377"/>
      <c r="CV158" s="377"/>
      <c r="CW158" s="377"/>
      <c r="CX158" s="377"/>
      <c r="CY158" s="377"/>
      <c r="CZ158" s="377"/>
      <c r="DA158" s="377"/>
      <c r="DB158" s="377"/>
      <c r="DC158" s="377"/>
      <c r="DD158" s="377"/>
      <c r="DE158" s="377"/>
      <c r="DF158" s="377"/>
      <c r="DG158" s="377"/>
      <c r="DH158" s="377"/>
      <c r="DI158" s="377"/>
      <c r="DJ158" s="377"/>
      <c r="DK158" s="377"/>
      <c r="DL158" s="377"/>
      <c r="DM158" s="377"/>
      <c r="DN158" s="377"/>
      <c r="DO158" s="377"/>
      <c r="DP158" s="377"/>
      <c r="DQ158" s="377"/>
      <c r="DR158" s="377"/>
      <c r="DS158" s="377"/>
      <c r="DT158" s="377"/>
      <c r="DU158" s="377"/>
      <c r="DV158" s="377"/>
      <c r="DW158" s="377"/>
      <c r="DX158" s="377"/>
      <c r="DY158" s="377"/>
      <c r="DZ158" s="377"/>
      <c r="EA158" s="377"/>
      <c r="EB158" s="377"/>
      <c r="EC158" s="377"/>
      <c r="ED158" s="377"/>
      <c r="EE158" s="377"/>
      <c r="EF158" s="377"/>
      <c r="EG158" s="377"/>
      <c r="EH158" s="377"/>
      <c r="EI158" s="377"/>
      <c r="EJ158" s="377"/>
      <c r="EK158" s="377"/>
      <c r="EL158" s="377"/>
      <c r="EM158" s="377"/>
      <c r="EN158" s="377"/>
      <c r="EO158" s="377"/>
      <c r="EP158" s="377"/>
      <c r="EQ158" s="377"/>
      <c r="ER158" s="377"/>
      <c r="ES158" s="377"/>
      <c r="ET158" s="377"/>
      <c r="EU158" s="377"/>
      <c r="EV158" s="377"/>
      <c r="EW158" s="377"/>
      <c r="EX158" s="377"/>
      <c r="EY158" s="377"/>
      <c r="EZ158" s="377"/>
      <c r="FA158" s="377"/>
      <c r="FB158" s="377"/>
      <c r="FC158" s="377"/>
      <c r="FD158" s="377"/>
      <c r="FE158" s="377"/>
      <c r="FF158" s="377"/>
      <c r="FG158" s="377"/>
      <c r="FH158" s="377"/>
      <c r="FI158" s="377"/>
      <c r="FJ158" s="377"/>
      <c r="FK158" s="377"/>
      <c r="FL158" s="377"/>
      <c r="FM158" s="377"/>
      <c r="FN158" s="377"/>
      <c r="FO158" s="377"/>
      <c r="FP158" s="377"/>
      <c r="FQ158" s="377"/>
      <c r="FR158" s="377"/>
      <c r="FS158" s="377"/>
      <c r="FT158" s="377"/>
      <c r="FU158" s="377"/>
      <c r="FV158" s="377"/>
      <c r="FW158" s="377"/>
      <c r="FX158" s="377"/>
      <c r="FY158" s="377"/>
      <c r="FZ158" s="377"/>
      <c r="GA158" s="377"/>
      <c r="GB158" s="377"/>
      <c r="GC158" s="377"/>
      <c r="GD158" s="377"/>
      <c r="GE158" s="377"/>
      <c r="GF158" s="377"/>
      <c r="GG158" s="377"/>
      <c r="GH158" s="377"/>
      <c r="GI158" s="377"/>
      <c r="GJ158" s="377"/>
      <c r="GK158" s="377"/>
      <c r="GL158" s="377"/>
      <c r="GM158" s="377"/>
      <c r="GN158" s="377"/>
      <c r="GO158" s="377"/>
      <c r="GP158" s="377"/>
      <c r="GQ158" s="377"/>
      <c r="GR158" s="377"/>
      <c r="GS158" s="377"/>
      <c r="GT158" s="377"/>
      <c r="GU158" s="377"/>
      <c r="GV158" s="377"/>
      <c r="GW158" s="377"/>
      <c r="GX158" s="377"/>
      <c r="GY158" s="377"/>
      <c r="GZ158" s="377"/>
      <c r="HA158" s="377"/>
      <c r="HB158" s="377"/>
      <c r="HC158" s="377"/>
      <c r="HD158" s="377"/>
      <c r="HE158" s="377"/>
      <c r="HF158" s="377"/>
      <c r="HG158" s="377"/>
      <c r="HH158" s="377"/>
      <c r="HI158" s="377"/>
      <c r="HJ158" s="377"/>
      <c r="HK158" s="377"/>
      <c r="HL158" s="377"/>
      <c r="HM158" s="377"/>
      <c r="HN158" s="377"/>
      <c r="HO158" s="377"/>
      <c r="HP158" s="377"/>
      <c r="HQ158" s="377"/>
      <c r="HR158" s="377"/>
      <c r="HS158" s="377"/>
      <c r="HT158" s="377"/>
      <c r="HU158" s="377"/>
      <c r="HV158" s="377"/>
      <c r="HW158" s="377"/>
      <c r="HX158" s="377"/>
      <c r="HY158" s="377"/>
      <c r="HZ158" s="377"/>
      <c r="IA158" s="377"/>
      <c r="IB158" s="377"/>
      <c r="IC158" s="377"/>
      <c r="ID158" s="377"/>
      <c r="IE158" s="377"/>
      <c r="IF158" s="377"/>
      <c r="IG158" s="377"/>
      <c r="IH158" s="377"/>
      <c r="II158" s="377"/>
      <c r="IJ158" s="377"/>
      <c r="IK158" s="377"/>
      <c r="IL158" s="377"/>
      <c r="IM158" s="377"/>
      <c r="IN158" s="377"/>
      <c r="IO158" s="377"/>
      <c r="IP158" s="377"/>
      <c r="IQ158" s="377"/>
    </row>
    <row r="159" spans="1:251" ht="9.9499999999999993" customHeight="1">
      <c r="A159" s="369"/>
      <c r="B159" s="398"/>
      <c r="C159" s="371"/>
      <c r="D159" s="371"/>
      <c r="E159" s="372"/>
      <c r="F159" s="368"/>
      <c r="G159" s="399"/>
      <c r="H159" s="399"/>
      <c r="I159" s="399"/>
      <c r="J159" s="373"/>
      <c r="K159" s="373"/>
      <c r="L159" s="373"/>
      <c r="M159" s="373"/>
      <c r="N159" s="373"/>
      <c r="O159" s="373"/>
      <c r="P159" s="373"/>
      <c r="Q159" s="373"/>
      <c r="R159" s="373"/>
      <c r="S159" s="373"/>
      <c r="T159" s="373"/>
      <c r="U159" s="373"/>
      <c r="V159" s="373"/>
      <c r="W159" s="373"/>
      <c r="X159" s="373"/>
      <c r="Y159" s="373"/>
      <c r="Z159" s="373"/>
      <c r="AA159" s="373"/>
      <c r="AB159" s="373"/>
      <c r="AC159" s="373"/>
      <c r="AD159" s="373"/>
      <c r="AE159" s="373"/>
      <c r="AF159" s="373"/>
      <c r="AG159" s="373"/>
      <c r="AH159" s="373"/>
      <c r="AI159" s="373"/>
      <c r="AJ159" s="373"/>
      <c r="AK159" s="373"/>
      <c r="AL159" s="373"/>
      <c r="AM159" s="373"/>
      <c r="AN159" s="373"/>
      <c r="AO159" s="373"/>
      <c r="AP159" s="373"/>
      <c r="AQ159" s="373"/>
      <c r="AR159" s="373"/>
      <c r="AS159" s="373"/>
      <c r="AT159" s="373"/>
      <c r="AU159" s="373"/>
      <c r="AV159" s="373"/>
      <c r="AW159" s="373"/>
      <c r="AX159" s="373"/>
      <c r="AY159" s="373"/>
      <c r="AZ159" s="373"/>
      <c r="BA159" s="373"/>
      <c r="BB159" s="373"/>
      <c r="BC159" s="373"/>
      <c r="BD159" s="373"/>
      <c r="BE159" s="373"/>
      <c r="BF159" s="373"/>
      <c r="BG159" s="373"/>
      <c r="BH159" s="373"/>
      <c r="BI159" s="373"/>
      <c r="BJ159" s="373"/>
      <c r="BK159" s="373"/>
      <c r="BL159" s="373"/>
      <c r="BM159" s="373"/>
      <c r="BN159" s="373"/>
      <c r="BO159" s="373"/>
      <c r="BP159" s="373"/>
      <c r="BQ159" s="373"/>
      <c r="BR159" s="373"/>
      <c r="BS159" s="373"/>
      <c r="BT159" s="373"/>
      <c r="BU159" s="373"/>
      <c r="BV159" s="373"/>
      <c r="BW159" s="373"/>
      <c r="BX159" s="373"/>
      <c r="BY159" s="373"/>
      <c r="BZ159" s="373"/>
      <c r="CA159" s="373"/>
      <c r="CB159" s="373"/>
      <c r="CC159" s="373"/>
      <c r="CD159" s="373"/>
      <c r="CE159" s="373"/>
      <c r="CF159" s="373"/>
      <c r="CG159" s="373"/>
      <c r="CH159" s="373"/>
      <c r="CI159" s="373"/>
      <c r="CJ159" s="373"/>
      <c r="CK159" s="373"/>
      <c r="CL159" s="373"/>
      <c r="CM159" s="373"/>
      <c r="CN159" s="373"/>
      <c r="CO159" s="373"/>
      <c r="CP159" s="373"/>
      <c r="CQ159" s="373"/>
      <c r="CR159" s="373"/>
      <c r="CS159" s="373"/>
      <c r="CT159" s="373"/>
      <c r="CU159" s="373"/>
      <c r="CV159" s="373"/>
      <c r="CW159" s="373"/>
      <c r="CX159" s="373"/>
      <c r="CY159" s="373"/>
      <c r="CZ159" s="373"/>
      <c r="DA159" s="373"/>
      <c r="DB159" s="373"/>
      <c r="DC159" s="373"/>
      <c r="DD159" s="373"/>
      <c r="DE159" s="373"/>
      <c r="DF159" s="373"/>
      <c r="DG159" s="373"/>
      <c r="DH159" s="373"/>
      <c r="DI159" s="373"/>
      <c r="DJ159" s="373"/>
      <c r="DK159" s="373"/>
      <c r="DL159" s="373"/>
      <c r="DM159" s="373"/>
      <c r="DN159" s="373"/>
      <c r="DO159" s="373"/>
      <c r="DP159" s="373"/>
      <c r="DQ159" s="373"/>
      <c r="DR159" s="373"/>
      <c r="DS159" s="373"/>
      <c r="DT159" s="373"/>
      <c r="DU159" s="373"/>
      <c r="DV159" s="373"/>
      <c r="DW159" s="373"/>
      <c r="DX159" s="373"/>
      <c r="DY159" s="373"/>
      <c r="DZ159" s="373"/>
      <c r="EA159" s="373"/>
      <c r="EB159" s="373"/>
      <c r="EC159" s="373"/>
      <c r="ED159" s="373"/>
      <c r="EE159" s="373"/>
      <c r="EF159" s="373"/>
      <c r="EG159" s="373"/>
      <c r="EH159" s="373"/>
      <c r="EI159" s="373"/>
      <c r="EJ159" s="373"/>
      <c r="EK159" s="373"/>
      <c r="EL159" s="373"/>
      <c r="EM159" s="373"/>
      <c r="EN159" s="373"/>
      <c r="EO159" s="373"/>
      <c r="EP159" s="373"/>
      <c r="EQ159" s="373"/>
      <c r="ER159" s="373"/>
      <c r="ES159" s="373"/>
      <c r="ET159" s="373"/>
      <c r="EU159" s="373"/>
      <c r="EV159" s="373"/>
      <c r="EW159" s="373"/>
      <c r="EX159" s="373"/>
      <c r="EY159" s="373"/>
      <c r="EZ159" s="373"/>
      <c r="FA159" s="373"/>
      <c r="FB159" s="373"/>
      <c r="FC159" s="373"/>
      <c r="FD159" s="373"/>
      <c r="FE159" s="373"/>
      <c r="FF159" s="373"/>
      <c r="FG159" s="373"/>
      <c r="FH159" s="373"/>
      <c r="FI159" s="373"/>
      <c r="FJ159" s="373"/>
      <c r="FK159" s="373"/>
      <c r="FL159" s="373"/>
      <c r="FM159" s="373"/>
      <c r="FN159" s="373"/>
      <c r="FO159" s="373"/>
      <c r="FP159" s="373"/>
      <c r="FQ159" s="373"/>
      <c r="FR159" s="373"/>
      <c r="FS159" s="373"/>
      <c r="FT159" s="373"/>
      <c r="FU159" s="373"/>
      <c r="FV159" s="373"/>
      <c r="FW159" s="373"/>
      <c r="FX159" s="373"/>
      <c r="FY159" s="373"/>
      <c r="FZ159" s="373"/>
      <c r="GA159" s="373"/>
      <c r="GB159" s="373"/>
      <c r="GC159" s="373"/>
      <c r="GD159" s="373"/>
      <c r="GE159" s="373"/>
      <c r="GF159" s="373"/>
      <c r="GG159" s="373"/>
      <c r="GH159" s="373"/>
      <c r="GI159" s="373"/>
      <c r="GJ159" s="373"/>
      <c r="GK159" s="373"/>
      <c r="GL159" s="373"/>
      <c r="GM159" s="373"/>
      <c r="GN159" s="373"/>
      <c r="GO159" s="373"/>
      <c r="GP159" s="373"/>
      <c r="GQ159" s="373"/>
      <c r="GR159" s="373"/>
      <c r="GS159" s="373"/>
      <c r="GT159" s="373"/>
      <c r="GU159" s="373"/>
      <c r="GV159" s="373"/>
      <c r="GW159" s="373"/>
      <c r="GX159" s="373"/>
      <c r="GY159" s="373"/>
      <c r="GZ159" s="373"/>
      <c r="HA159" s="373"/>
      <c r="HB159" s="373"/>
      <c r="HC159" s="373"/>
      <c r="HD159" s="373"/>
      <c r="HE159" s="373"/>
      <c r="HF159" s="373"/>
      <c r="HG159" s="373"/>
      <c r="HH159" s="373"/>
      <c r="HI159" s="373"/>
      <c r="HJ159" s="373"/>
      <c r="HK159" s="373"/>
      <c r="HL159" s="373"/>
      <c r="HM159" s="373"/>
      <c r="HN159" s="373"/>
      <c r="HO159" s="373"/>
      <c r="HP159" s="373"/>
      <c r="HQ159" s="373"/>
      <c r="HR159" s="373"/>
      <c r="HS159" s="373"/>
      <c r="HT159" s="373"/>
      <c r="HU159" s="373"/>
      <c r="HV159" s="373"/>
      <c r="HW159" s="373"/>
      <c r="HX159" s="373"/>
      <c r="HY159" s="373"/>
      <c r="HZ159" s="373"/>
      <c r="IA159" s="373"/>
      <c r="IB159" s="373"/>
      <c r="IC159" s="373"/>
      <c r="ID159" s="373"/>
      <c r="IE159" s="373"/>
      <c r="IF159" s="373"/>
      <c r="IG159" s="373"/>
      <c r="IH159" s="373"/>
      <c r="II159" s="373"/>
      <c r="IJ159" s="373"/>
      <c r="IK159" s="373"/>
      <c r="IL159" s="373"/>
      <c r="IM159" s="373"/>
      <c r="IN159" s="373"/>
      <c r="IO159" s="373"/>
      <c r="IP159" s="373"/>
      <c r="IQ159" s="373"/>
    </row>
    <row r="160" spans="1:251">
      <c r="A160" s="384"/>
      <c r="B160" s="385" t="s">
        <v>591</v>
      </c>
      <c r="C160" s="356">
        <f>D160+E160</f>
        <v>2000</v>
      </c>
      <c r="D160" s="356">
        <v>2000</v>
      </c>
      <c r="E160" s="376">
        <v>0</v>
      </c>
      <c r="F160" s="368"/>
      <c r="G160" s="386" t="s">
        <v>421</v>
      </c>
      <c r="H160" s="386" t="s">
        <v>421</v>
      </c>
      <c r="I160" s="386" t="s">
        <v>421</v>
      </c>
    </row>
    <row r="161" spans="1:251" ht="9.9499999999999993" customHeight="1">
      <c r="A161" s="384"/>
      <c r="B161" s="385"/>
      <c r="C161" s="356"/>
      <c r="D161" s="356"/>
      <c r="E161" s="376"/>
      <c r="F161" s="368"/>
      <c r="G161" s="356"/>
      <c r="H161" s="356"/>
      <c r="I161" s="356"/>
    </row>
    <row r="162" spans="1:251">
      <c r="A162" s="384"/>
      <c r="B162" s="391" t="s">
        <v>314</v>
      </c>
      <c r="C162" s="386" t="s">
        <v>421</v>
      </c>
      <c r="D162" s="386" t="s">
        <v>421</v>
      </c>
      <c r="E162" s="400" t="s">
        <v>421</v>
      </c>
      <c r="F162" s="368"/>
      <c r="G162" s="356">
        <f>H162+I162</f>
        <v>2000</v>
      </c>
      <c r="H162" s="356">
        <v>2000</v>
      </c>
      <c r="I162" s="356">
        <v>0</v>
      </c>
    </row>
    <row r="163" spans="1:251" ht="9.9499999999999993" customHeight="1">
      <c r="A163" s="280"/>
      <c r="B163" s="362"/>
      <c r="C163" s="288"/>
      <c r="D163" s="288"/>
      <c r="E163" s="427"/>
      <c r="F163" s="368"/>
      <c r="G163" s="283"/>
      <c r="H163" s="283"/>
      <c r="I163" s="283"/>
      <c r="J163" s="285"/>
      <c r="K163" s="285"/>
      <c r="L163" s="285"/>
      <c r="M163" s="285"/>
      <c r="N163" s="285"/>
      <c r="O163" s="285"/>
      <c r="P163" s="285"/>
      <c r="Q163" s="285"/>
      <c r="R163" s="285"/>
      <c r="S163" s="285"/>
      <c r="T163" s="285"/>
      <c r="U163" s="285"/>
      <c r="V163" s="285"/>
      <c r="W163" s="285"/>
      <c r="X163" s="285"/>
      <c r="Y163" s="285"/>
      <c r="Z163" s="285"/>
      <c r="AA163" s="285"/>
      <c r="AB163" s="285"/>
      <c r="AC163" s="285"/>
      <c r="AD163" s="285"/>
      <c r="AE163" s="285"/>
      <c r="AF163" s="285"/>
      <c r="AG163" s="285"/>
      <c r="AH163" s="285"/>
      <c r="AI163" s="285"/>
      <c r="AJ163" s="285"/>
      <c r="AK163" s="285"/>
      <c r="AL163" s="285"/>
      <c r="AM163" s="285"/>
      <c r="AN163" s="285"/>
      <c r="AO163" s="285"/>
      <c r="AP163" s="285"/>
      <c r="AQ163" s="285"/>
      <c r="AR163" s="285"/>
      <c r="AS163" s="285"/>
      <c r="AT163" s="285"/>
      <c r="AU163" s="285"/>
      <c r="AV163" s="285"/>
      <c r="AW163" s="285"/>
      <c r="AX163" s="285"/>
      <c r="AY163" s="285"/>
      <c r="AZ163" s="285"/>
      <c r="BA163" s="285"/>
      <c r="BB163" s="285"/>
      <c r="BC163" s="285"/>
      <c r="BD163" s="285"/>
      <c r="BE163" s="285"/>
      <c r="BF163" s="285"/>
      <c r="BG163" s="285"/>
      <c r="BH163" s="285"/>
      <c r="BI163" s="285"/>
      <c r="BJ163" s="285"/>
      <c r="BK163" s="285"/>
      <c r="BL163" s="285"/>
      <c r="BM163" s="285"/>
      <c r="BN163" s="285"/>
      <c r="BO163" s="285"/>
      <c r="BP163" s="285"/>
      <c r="BQ163" s="285"/>
      <c r="BR163" s="285"/>
      <c r="BS163" s="285"/>
      <c r="BT163" s="285"/>
      <c r="BU163" s="285"/>
      <c r="BV163" s="285"/>
      <c r="BW163" s="285"/>
      <c r="BX163" s="285"/>
      <c r="BY163" s="285"/>
      <c r="BZ163" s="285"/>
      <c r="CA163" s="285"/>
      <c r="CB163" s="285"/>
      <c r="CC163" s="285"/>
      <c r="CD163" s="285"/>
      <c r="CE163" s="285"/>
      <c r="CF163" s="285"/>
      <c r="CG163" s="285"/>
      <c r="CH163" s="285"/>
      <c r="CI163" s="285"/>
      <c r="CJ163" s="285"/>
      <c r="CK163" s="285"/>
      <c r="CL163" s="285"/>
      <c r="CM163" s="285"/>
      <c r="CN163" s="285"/>
      <c r="CO163" s="285"/>
      <c r="CP163" s="285"/>
      <c r="CQ163" s="285"/>
      <c r="CR163" s="285"/>
      <c r="CS163" s="285"/>
      <c r="CT163" s="285"/>
      <c r="CU163" s="285"/>
      <c r="CV163" s="285"/>
      <c r="CW163" s="285"/>
      <c r="CX163" s="285"/>
      <c r="CY163" s="285"/>
      <c r="CZ163" s="285"/>
      <c r="DA163" s="285"/>
      <c r="DB163" s="285"/>
      <c r="DC163" s="285"/>
      <c r="DD163" s="285"/>
      <c r="DE163" s="285"/>
      <c r="DF163" s="285"/>
      <c r="DG163" s="285"/>
      <c r="DH163" s="285"/>
      <c r="DI163" s="285"/>
      <c r="DJ163" s="285"/>
      <c r="DK163" s="285"/>
      <c r="DL163" s="285"/>
      <c r="DM163" s="285"/>
      <c r="DN163" s="285"/>
      <c r="DO163" s="285"/>
      <c r="DP163" s="285"/>
      <c r="DQ163" s="285"/>
      <c r="DR163" s="285"/>
      <c r="DS163" s="285"/>
      <c r="DT163" s="285"/>
      <c r="DU163" s="285"/>
      <c r="DV163" s="285"/>
      <c r="DW163" s="285"/>
      <c r="DX163" s="285"/>
      <c r="DY163" s="285"/>
      <c r="DZ163" s="285"/>
      <c r="EA163" s="285"/>
      <c r="EB163" s="285"/>
      <c r="EC163" s="285"/>
      <c r="ED163" s="285"/>
      <c r="EE163" s="285"/>
      <c r="EF163" s="285"/>
      <c r="EG163" s="285"/>
      <c r="EH163" s="285"/>
      <c r="EI163" s="285"/>
      <c r="EJ163" s="285"/>
      <c r="EK163" s="285"/>
      <c r="EL163" s="285"/>
      <c r="EM163" s="285"/>
      <c r="EN163" s="285"/>
      <c r="EO163" s="285"/>
      <c r="EP163" s="285"/>
      <c r="EQ163" s="285"/>
      <c r="ER163" s="285"/>
      <c r="ES163" s="285"/>
      <c r="ET163" s="285"/>
      <c r="EU163" s="285"/>
      <c r="EV163" s="285"/>
      <c r="EW163" s="285"/>
      <c r="EX163" s="285"/>
      <c r="EY163" s="285"/>
      <c r="EZ163" s="285"/>
      <c r="FA163" s="285"/>
      <c r="FB163" s="285"/>
      <c r="FC163" s="285"/>
      <c r="FD163" s="285"/>
      <c r="FE163" s="285"/>
      <c r="FF163" s="285"/>
      <c r="FG163" s="285"/>
      <c r="FH163" s="285"/>
      <c r="FI163" s="285"/>
      <c r="FJ163" s="285"/>
      <c r="FK163" s="285"/>
      <c r="FL163" s="285"/>
      <c r="FM163" s="285"/>
      <c r="FN163" s="285"/>
      <c r="FO163" s="285"/>
      <c r="FP163" s="285"/>
      <c r="FQ163" s="285"/>
      <c r="FR163" s="285"/>
      <c r="FS163" s="285"/>
      <c r="FT163" s="285"/>
      <c r="FU163" s="285"/>
      <c r="FV163" s="285"/>
      <c r="FW163" s="285"/>
      <c r="FX163" s="285"/>
      <c r="FY163" s="285"/>
      <c r="FZ163" s="285"/>
      <c r="GA163" s="285"/>
      <c r="GB163" s="285"/>
      <c r="GC163" s="285"/>
      <c r="GD163" s="285"/>
      <c r="GE163" s="285"/>
      <c r="GF163" s="285"/>
      <c r="GG163" s="285"/>
      <c r="GH163" s="285"/>
      <c r="GI163" s="285"/>
      <c r="GJ163" s="285"/>
      <c r="GK163" s="285"/>
      <c r="GL163" s="285"/>
      <c r="GM163" s="285"/>
      <c r="GN163" s="285"/>
      <c r="GO163" s="285"/>
      <c r="GP163" s="285"/>
      <c r="GQ163" s="285"/>
      <c r="GR163" s="285"/>
      <c r="GS163" s="285"/>
      <c r="GT163" s="285"/>
      <c r="GU163" s="285"/>
      <c r="GV163" s="285"/>
      <c r="GW163" s="285"/>
      <c r="GX163" s="285"/>
      <c r="GY163" s="285"/>
      <c r="GZ163" s="285"/>
      <c r="HA163" s="285"/>
      <c r="HB163" s="285"/>
      <c r="HC163" s="285"/>
      <c r="HD163" s="285"/>
      <c r="HE163" s="285"/>
      <c r="HF163" s="285"/>
      <c r="HG163" s="285"/>
      <c r="HH163" s="285"/>
      <c r="HI163" s="285"/>
      <c r="HJ163" s="285"/>
      <c r="HK163" s="285"/>
      <c r="HL163" s="285"/>
      <c r="HM163" s="285"/>
      <c r="HN163" s="285"/>
      <c r="HO163" s="285"/>
      <c r="HP163" s="285"/>
      <c r="HQ163" s="285"/>
      <c r="HR163" s="285"/>
      <c r="HS163" s="285"/>
      <c r="HT163" s="285"/>
      <c r="HU163" s="285"/>
      <c r="HV163" s="285"/>
      <c r="HW163" s="285"/>
      <c r="HX163" s="285"/>
      <c r="HY163" s="285"/>
      <c r="HZ163" s="285"/>
      <c r="IA163" s="285"/>
      <c r="IB163" s="285"/>
      <c r="IC163" s="285"/>
      <c r="ID163" s="285"/>
      <c r="IE163" s="285"/>
      <c r="IF163" s="285"/>
      <c r="IG163" s="285"/>
      <c r="IH163" s="285"/>
      <c r="II163" s="285"/>
      <c r="IJ163" s="285"/>
      <c r="IK163" s="285"/>
      <c r="IL163" s="285"/>
      <c r="IM163" s="285"/>
      <c r="IN163" s="285"/>
      <c r="IO163" s="285"/>
      <c r="IP163" s="285"/>
      <c r="IQ163" s="285"/>
    </row>
    <row r="164" spans="1:251">
      <c r="A164" s="369" t="s">
        <v>612</v>
      </c>
      <c r="B164" s="370" t="s">
        <v>44</v>
      </c>
      <c r="C164" s="371">
        <f>C166</f>
        <v>339000</v>
      </c>
      <c r="D164" s="371">
        <f>D166</f>
        <v>339000</v>
      </c>
      <c r="E164" s="372">
        <f>E166</f>
        <v>0</v>
      </c>
      <c r="F164" s="368"/>
      <c r="G164" s="371">
        <f>G166</f>
        <v>339000</v>
      </c>
      <c r="H164" s="371">
        <f>H166</f>
        <v>339000</v>
      </c>
      <c r="I164" s="371">
        <f>I166</f>
        <v>0</v>
      </c>
      <c r="J164" s="373"/>
      <c r="K164" s="373"/>
      <c r="L164" s="373"/>
      <c r="M164" s="373"/>
      <c r="N164" s="373"/>
      <c r="O164" s="373"/>
      <c r="P164" s="373"/>
      <c r="Q164" s="373"/>
      <c r="R164" s="373"/>
      <c r="S164" s="373"/>
      <c r="T164" s="373"/>
      <c r="U164" s="373"/>
      <c r="V164" s="373"/>
      <c r="W164" s="373"/>
      <c r="X164" s="373"/>
      <c r="Y164" s="373"/>
      <c r="Z164" s="373"/>
      <c r="AA164" s="373"/>
      <c r="AB164" s="373"/>
      <c r="AC164" s="373"/>
      <c r="AD164" s="373"/>
      <c r="AE164" s="373"/>
      <c r="AF164" s="373"/>
      <c r="AG164" s="373"/>
      <c r="AH164" s="373"/>
      <c r="AI164" s="373"/>
      <c r="AJ164" s="373"/>
      <c r="AK164" s="373"/>
      <c r="AL164" s="373"/>
      <c r="AM164" s="373"/>
      <c r="AN164" s="373"/>
      <c r="AO164" s="373"/>
      <c r="AP164" s="373"/>
      <c r="AQ164" s="373"/>
      <c r="AR164" s="373"/>
      <c r="AS164" s="373"/>
      <c r="AT164" s="373"/>
      <c r="AU164" s="373"/>
      <c r="AV164" s="373"/>
      <c r="AW164" s="373"/>
      <c r="AX164" s="373"/>
      <c r="AY164" s="373"/>
      <c r="AZ164" s="373"/>
      <c r="BA164" s="373"/>
      <c r="BB164" s="373"/>
      <c r="BC164" s="373"/>
      <c r="BD164" s="373"/>
      <c r="BE164" s="373"/>
      <c r="BF164" s="373"/>
      <c r="BG164" s="373"/>
      <c r="BH164" s="373"/>
      <c r="BI164" s="373"/>
      <c r="BJ164" s="373"/>
      <c r="BK164" s="373"/>
      <c r="BL164" s="373"/>
      <c r="BM164" s="373"/>
      <c r="BN164" s="373"/>
      <c r="BO164" s="373"/>
      <c r="BP164" s="373"/>
      <c r="BQ164" s="373"/>
      <c r="BR164" s="373"/>
      <c r="BS164" s="373"/>
      <c r="BT164" s="373"/>
      <c r="BU164" s="373"/>
      <c r="BV164" s="373"/>
      <c r="BW164" s="373"/>
      <c r="BX164" s="373"/>
      <c r="BY164" s="373"/>
      <c r="BZ164" s="373"/>
      <c r="CA164" s="373"/>
      <c r="CB164" s="373"/>
      <c r="CC164" s="373"/>
      <c r="CD164" s="373"/>
      <c r="CE164" s="373"/>
      <c r="CF164" s="373"/>
      <c r="CG164" s="373"/>
      <c r="CH164" s="373"/>
      <c r="CI164" s="373"/>
      <c r="CJ164" s="373"/>
      <c r="CK164" s="373"/>
      <c r="CL164" s="373"/>
      <c r="CM164" s="373"/>
      <c r="CN164" s="373"/>
      <c r="CO164" s="373"/>
      <c r="CP164" s="373"/>
      <c r="CQ164" s="373"/>
      <c r="CR164" s="373"/>
      <c r="CS164" s="373"/>
      <c r="CT164" s="373"/>
      <c r="CU164" s="373"/>
      <c r="CV164" s="373"/>
      <c r="CW164" s="373"/>
      <c r="CX164" s="373"/>
      <c r="CY164" s="373"/>
      <c r="CZ164" s="373"/>
      <c r="DA164" s="373"/>
      <c r="DB164" s="373"/>
      <c r="DC164" s="373"/>
      <c r="DD164" s="373"/>
      <c r="DE164" s="373"/>
      <c r="DF164" s="373"/>
      <c r="DG164" s="373"/>
      <c r="DH164" s="373"/>
      <c r="DI164" s="373"/>
      <c r="DJ164" s="373"/>
      <c r="DK164" s="373"/>
      <c r="DL164" s="373"/>
      <c r="DM164" s="373"/>
      <c r="DN164" s="373"/>
      <c r="DO164" s="373"/>
      <c r="DP164" s="373"/>
      <c r="DQ164" s="373"/>
      <c r="DR164" s="373"/>
      <c r="DS164" s="373"/>
      <c r="DT164" s="373"/>
      <c r="DU164" s="373"/>
      <c r="DV164" s="373"/>
      <c r="DW164" s="373"/>
      <c r="DX164" s="373"/>
      <c r="DY164" s="373"/>
      <c r="DZ164" s="373"/>
      <c r="EA164" s="373"/>
      <c r="EB164" s="373"/>
      <c r="EC164" s="373"/>
      <c r="ED164" s="373"/>
      <c r="EE164" s="373"/>
      <c r="EF164" s="373"/>
      <c r="EG164" s="373"/>
      <c r="EH164" s="373"/>
      <c r="EI164" s="373"/>
      <c r="EJ164" s="373"/>
      <c r="EK164" s="373"/>
      <c r="EL164" s="373"/>
      <c r="EM164" s="373"/>
      <c r="EN164" s="373"/>
      <c r="EO164" s="373"/>
      <c r="EP164" s="373"/>
      <c r="EQ164" s="373"/>
      <c r="ER164" s="373"/>
      <c r="ES164" s="373"/>
      <c r="ET164" s="373"/>
      <c r="EU164" s="373"/>
      <c r="EV164" s="373"/>
      <c r="EW164" s="373"/>
      <c r="EX164" s="373"/>
      <c r="EY164" s="373"/>
      <c r="EZ164" s="373"/>
      <c r="FA164" s="373"/>
      <c r="FB164" s="373"/>
      <c r="FC164" s="373"/>
      <c r="FD164" s="373"/>
      <c r="FE164" s="373"/>
      <c r="FF164" s="373"/>
      <c r="FG164" s="373"/>
      <c r="FH164" s="373"/>
      <c r="FI164" s="373"/>
      <c r="FJ164" s="373"/>
      <c r="FK164" s="373"/>
      <c r="FL164" s="373"/>
      <c r="FM164" s="373"/>
      <c r="FN164" s="373"/>
      <c r="FO164" s="373"/>
      <c r="FP164" s="373"/>
      <c r="FQ164" s="373"/>
      <c r="FR164" s="373"/>
      <c r="FS164" s="373"/>
      <c r="FT164" s="373"/>
      <c r="FU164" s="373"/>
      <c r="FV164" s="373"/>
      <c r="FW164" s="373"/>
      <c r="FX164" s="373"/>
      <c r="FY164" s="373"/>
      <c r="FZ164" s="373"/>
      <c r="GA164" s="373"/>
      <c r="GB164" s="373"/>
      <c r="GC164" s="373"/>
      <c r="GD164" s="373"/>
      <c r="GE164" s="373"/>
      <c r="GF164" s="373"/>
      <c r="GG164" s="373"/>
      <c r="GH164" s="373"/>
      <c r="GI164" s="373"/>
      <c r="GJ164" s="373"/>
      <c r="GK164" s="373"/>
      <c r="GL164" s="373"/>
      <c r="GM164" s="373"/>
      <c r="GN164" s="373"/>
      <c r="GO164" s="373"/>
      <c r="GP164" s="373"/>
      <c r="GQ164" s="373"/>
      <c r="GR164" s="373"/>
      <c r="GS164" s="373"/>
      <c r="GT164" s="373"/>
      <c r="GU164" s="373"/>
      <c r="GV164" s="373"/>
      <c r="GW164" s="373"/>
      <c r="GX164" s="373"/>
      <c r="GY164" s="373"/>
      <c r="GZ164" s="373"/>
      <c r="HA164" s="373"/>
      <c r="HB164" s="373"/>
      <c r="HC164" s="373"/>
      <c r="HD164" s="373"/>
      <c r="HE164" s="373"/>
      <c r="HF164" s="373"/>
      <c r="HG164" s="373"/>
      <c r="HH164" s="373"/>
      <c r="HI164" s="373"/>
      <c r="HJ164" s="373"/>
      <c r="HK164" s="373"/>
      <c r="HL164" s="373"/>
      <c r="HM164" s="373"/>
      <c r="HN164" s="373"/>
      <c r="HO164" s="373"/>
      <c r="HP164" s="373"/>
      <c r="HQ164" s="373"/>
      <c r="HR164" s="373"/>
      <c r="HS164" s="373"/>
      <c r="HT164" s="373"/>
      <c r="HU164" s="373"/>
      <c r="HV164" s="373"/>
      <c r="HW164" s="373"/>
      <c r="HX164" s="373"/>
      <c r="HY164" s="373"/>
      <c r="HZ164" s="373"/>
      <c r="IA164" s="373"/>
      <c r="IB164" s="373"/>
      <c r="IC164" s="373"/>
      <c r="ID164" s="373"/>
      <c r="IE164" s="373"/>
      <c r="IF164" s="373"/>
      <c r="IG164" s="373"/>
      <c r="IH164" s="373"/>
      <c r="II164" s="373"/>
      <c r="IJ164" s="373"/>
      <c r="IK164" s="373"/>
      <c r="IL164" s="373"/>
      <c r="IM164" s="373"/>
      <c r="IN164" s="373"/>
      <c r="IO164" s="373"/>
      <c r="IP164" s="373"/>
      <c r="IQ164" s="373"/>
    </row>
    <row r="165" spans="1:251" ht="9.9499999999999993" customHeight="1">
      <c r="A165" s="426"/>
      <c r="B165" s="375"/>
      <c r="C165" s="396"/>
      <c r="D165" s="396"/>
      <c r="E165" s="397"/>
      <c r="F165" s="368"/>
      <c r="G165" s="418"/>
      <c r="H165" s="356"/>
      <c r="I165" s="356"/>
    </row>
    <row r="166" spans="1:251">
      <c r="A166" s="1100" t="s">
        <v>613</v>
      </c>
      <c r="B166" s="1100"/>
      <c r="C166" s="428">
        <f>C168</f>
        <v>339000</v>
      </c>
      <c r="D166" s="428">
        <f>D168</f>
        <v>339000</v>
      </c>
      <c r="E166" s="429">
        <f>E168</f>
        <v>0</v>
      </c>
      <c r="F166" s="368"/>
      <c r="G166" s="378">
        <f>G170+G172</f>
        <v>339000</v>
      </c>
      <c r="H166" s="378">
        <f>H170+H172</f>
        <v>339000</v>
      </c>
      <c r="I166" s="378">
        <f>I170+I172</f>
        <v>0</v>
      </c>
      <c r="J166" s="377"/>
      <c r="K166" s="377"/>
      <c r="L166" s="377"/>
      <c r="M166" s="377"/>
      <c r="N166" s="377"/>
      <c r="O166" s="377"/>
      <c r="P166" s="377"/>
      <c r="Q166" s="377"/>
      <c r="R166" s="377"/>
      <c r="S166" s="377"/>
      <c r="T166" s="377"/>
      <c r="U166" s="377"/>
      <c r="V166" s="377"/>
      <c r="W166" s="377"/>
      <c r="X166" s="377"/>
      <c r="Y166" s="377"/>
      <c r="Z166" s="377"/>
      <c r="AA166" s="377"/>
      <c r="AB166" s="377"/>
      <c r="AC166" s="377"/>
      <c r="AD166" s="377"/>
      <c r="AE166" s="377"/>
      <c r="AF166" s="377"/>
      <c r="AG166" s="377"/>
      <c r="AH166" s="377"/>
      <c r="AI166" s="377"/>
      <c r="AJ166" s="377"/>
      <c r="AK166" s="377"/>
      <c r="AL166" s="377"/>
      <c r="AM166" s="377"/>
      <c r="AN166" s="377"/>
      <c r="AO166" s="377"/>
      <c r="AP166" s="377"/>
      <c r="AQ166" s="377"/>
      <c r="AR166" s="377"/>
      <c r="AS166" s="377"/>
      <c r="AT166" s="377"/>
      <c r="AU166" s="377"/>
      <c r="AV166" s="377"/>
      <c r="AW166" s="377"/>
      <c r="AX166" s="377"/>
      <c r="AY166" s="377"/>
      <c r="AZ166" s="377"/>
      <c r="BA166" s="377"/>
      <c r="BB166" s="377"/>
      <c r="BC166" s="377"/>
      <c r="BD166" s="377"/>
      <c r="BE166" s="377"/>
      <c r="BF166" s="377"/>
      <c r="BG166" s="377"/>
      <c r="BH166" s="377"/>
      <c r="BI166" s="377"/>
      <c r="BJ166" s="377"/>
      <c r="BK166" s="377"/>
      <c r="BL166" s="377"/>
      <c r="BM166" s="377"/>
      <c r="BN166" s="377"/>
      <c r="BO166" s="377"/>
      <c r="BP166" s="377"/>
      <c r="BQ166" s="377"/>
      <c r="BR166" s="377"/>
      <c r="BS166" s="377"/>
      <c r="BT166" s="377"/>
      <c r="BU166" s="377"/>
      <c r="BV166" s="377"/>
      <c r="BW166" s="377"/>
      <c r="BX166" s="377"/>
      <c r="BY166" s="377"/>
      <c r="BZ166" s="377"/>
      <c r="CA166" s="377"/>
      <c r="CB166" s="377"/>
      <c r="CC166" s="377"/>
      <c r="CD166" s="377"/>
      <c r="CE166" s="377"/>
      <c r="CF166" s="377"/>
      <c r="CG166" s="377"/>
      <c r="CH166" s="377"/>
      <c r="CI166" s="377"/>
      <c r="CJ166" s="377"/>
      <c r="CK166" s="377"/>
      <c r="CL166" s="377"/>
      <c r="CM166" s="377"/>
      <c r="CN166" s="377"/>
      <c r="CO166" s="377"/>
      <c r="CP166" s="377"/>
      <c r="CQ166" s="377"/>
      <c r="CR166" s="377"/>
      <c r="CS166" s="377"/>
      <c r="CT166" s="377"/>
      <c r="CU166" s="377"/>
      <c r="CV166" s="377"/>
      <c r="CW166" s="377"/>
      <c r="CX166" s="377"/>
      <c r="CY166" s="377"/>
      <c r="CZ166" s="377"/>
      <c r="DA166" s="377"/>
      <c r="DB166" s="377"/>
      <c r="DC166" s="377"/>
      <c r="DD166" s="377"/>
      <c r="DE166" s="377"/>
      <c r="DF166" s="377"/>
      <c r="DG166" s="377"/>
      <c r="DH166" s="377"/>
      <c r="DI166" s="377"/>
      <c r="DJ166" s="377"/>
      <c r="DK166" s="377"/>
      <c r="DL166" s="377"/>
      <c r="DM166" s="377"/>
      <c r="DN166" s="377"/>
      <c r="DO166" s="377"/>
      <c r="DP166" s="377"/>
      <c r="DQ166" s="377"/>
      <c r="DR166" s="377"/>
      <c r="DS166" s="377"/>
      <c r="DT166" s="377"/>
      <c r="DU166" s="377"/>
      <c r="DV166" s="377"/>
      <c r="DW166" s="377"/>
      <c r="DX166" s="377"/>
      <c r="DY166" s="377"/>
      <c r="DZ166" s="377"/>
      <c r="EA166" s="377"/>
      <c r="EB166" s="377"/>
      <c r="EC166" s="377"/>
      <c r="ED166" s="377"/>
      <c r="EE166" s="377"/>
      <c r="EF166" s="377"/>
      <c r="EG166" s="377"/>
      <c r="EH166" s="377"/>
      <c r="EI166" s="377"/>
      <c r="EJ166" s="377"/>
      <c r="EK166" s="377"/>
      <c r="EL166" s="377"/>
      <c r="EM166" s="377"/>
      <c r="EN166" s="377"/>
      <c r="EO166" s="377"/>
      <c r="EP166" s="377"/>
      <c r="EQ166" s="377"/>
      <c r="ER166" s="377"/>
      <c r="ES166" s="377"/>
      <c r="ET166" s="377"/>
      <c r="EU166" s="377"/>
      <c r="EV166" s="377"/>
      <c r="EW166" s="377"/>
      <c r="EX166" s="377"/>
      <c r="EY166" s="377"/>
      <c r="EZ166" s="377"/>
      <c r="FA166" s="377"/>
      <c r="FB166" s="377"/>
      <c r="FC166" s="377"/>
      <c r="FD166" s="377"/>
      <c r="FE166" s="377"/>
      <c r="FF166" s="377"/>
      <c r="FG166" s="377"/>
      <c r="FH166" s="377"/>
      <c r="FI166" s="377"/>
      <c r="FJ166" s="377"/>
      <c r="FK166" s="377"/>
      <c r="FL166" s="377"/>
      <c r="FM166" s="377"/>
      <c r="FN166" s="377"/>
      <c r="FO166" s="377"/>
      <c r="FP166" s="377"/>
      <c r="FQ166" s="377"/>
      <c r="FR166" s="377"/>
      <c r="FS166" s="377"/>
      <c r="FT166" s="377"/>
      <c r="FU166" s="377"/>
      <c r="FV166" s="377"/>
      <c r="FW166" s="377"/>
      <c r="FX166" s="377"/>
      <c r="FY166" s="377"/>
      <c r="FZ166" s="377"/>
      <c r="GA166" s="377"/>
      <c r="GB166" s="377"/>
      <c r="GC166" s="377"/>
      <c r="GD166" s="377"/>
      <c r="GE166" s="377"/>
      <c r="GF166" s="377"/>
      <c r="GG166" s="377"/>
      <c r="GH166" s="377"/>
      <c r="GI166" s="377"/>
      <c r="GJ166" s="377"/>
      <c r="GK166" s="377"/>
      <c r="GL166" s="377"/>
      <c r="GM166" s="377"/>
      <c r="GN166" s="377"/>
      <c r="GO166" s="377"/>
      <c r="GP166" s="377"/>
      <c r="GQ166" s="377"/>
      <c r="GR166" s="377"/>
      <c r="GS166" s="377"/>
      <c r="GT166" s="377"/>
      <c r="GU166" s="377"/>
      <c r="GV166" s="377"/>
      <c r="GW166" s="377"/>
      <c r="GX166" s="377"/>
      <c r="GY166" s="377"/>
      <c r="GZ166" s="377"/>
      <c r="HA166" s="377"/>
      <c r="HB166" s="377"/>
      <c r="HC166" s="377"/>
      <c r="HD166" s="377"/>
      <c r="HE166" s="377"/>
      <c r="HF166" s="377"/>
      <c r="HG166" s="377"/>
      <c r="HH166" s="377"/>
      <c r="HI166" s="377"/>
      <c r="HJ166" s="377"/>
      <c r="HK166" s="377"/>
      <c r="HL166" s="377"/>
      <c r="HM166" s="377"/>
      <c r="HN166" s="377"/>
      <c r="HO166" s="377"/>
      <c r="HP166" s="377"/>
      <c r="HQ166" s="377"/>
      <c r="HR166" s="377"/>
      <c r="HS166" s="377"/>
      <c r="HT166" s="377"/>
      <c r="HU166" s="377"/>
      <c r="HV166" s="377"/>
      <c r="HW166" s="377"/>
      <c r="HX166" s="377"/>
      <c r="HY166" s="377"/>
      <c r="HZ166" s="377"/>
      <c r="IA166" s="377"/>
      <c r="IB166" s="377"/>
      <c r="IC166" s="377"/>
      <c r="ID166" s="377"/>
      <c r="IE166" s="377"/>
      <c r="IF166" s="377"/>
      <c r="IG166" s="377"/>
      <c r="IH166" s="377"/>
      <c r="II166" s="377"/>
      <c r="IJ166" s="377"/>
      <c r="IK166" s="377"/>
      <c r="IL166" s="377"/>
      <c r="IM166" s="377"/>
      <c r="IN166" s="377"/>
      <c r="IO166" s="377"/>
      <c r="IP166" s="377"/>
      <c r="IQ166" s="377"/>
    </row>
    <row r="167" spans="1:251" ht="9.9499999999999993" customHeight="1">
      <c r="A167" s="369"/>
      <c r="B167" s="398"/>
      <c r="C167" s="371"/>
      <c r="D167" s="371"/>
      <c r="E167" s="372"/>
      <c r="F167" s="368"/>
      <c r="G167" s="399"/>
      <c r="H167" s="399"/>
      <c r="I167" s="399"/>
      <c r="J167" s="373"/>
      <c r="K167" s="373"/>
      <c r="L167" s="373"/>
      <c r="M167" s="373"/>
      <c r="N167" s="373"/>
      <c r="O167" s="373"/>
      <c r="P167" s="373"/>
      <c r="Q167" s="373"/>
      <c r="R167" s="373"/>
      <c r="S167" s="373"/>
      <c r="T167" s="373"/>
      <c r="U167" s="373"/>
      <c r="V167" s="373"/>
      <c r="W167" s="373"/>
      <c r="X167" s="373"/>
      <c r="Y167" s="373"/>
      <c r="Z167" s="373"/>
      <c r="AA167" s="373"/>
      <c r="AB167" s="373"/>
      <c r="AC167" s="373"/>
      <c r="AD167" s="373"/>
      <c r="AE167" s="373"/>
      <c r="AF167" s="373"/>
      <c r="AG167" s="373"/>
      <c r="AH167" s="373"/>
      <c r="AI167" s="373"/>
      <c r="AJ167" s="373"/>
      <c r="AK167" s="373"/>
      <c r="AL167" s="373"/>
      <c r="AM167" s="373"/>
      <c r="AN167" s="373"/>
      <c r="AO167" s="373"/>
      <c r="AP167" s="373"/>
      <c r="AQ167" s="373"/>
      <c r="AR167" s="373"/>
      <c r="AS167" s="373"/>
      <c r="AT167" s="373"/>
      <c r="AU167" s="373"/>
      <c r="AV167" s="373"/>
      <c r="AW167" s="373"/>
      <c r="AX167" s="373"/>
      <c r="AY167" s="373"/>
      <c r="AZ167" s="373"/>
      <c r="BA167" s="373"/>
      <c r="BB167" s="373"/>
      <c r="BC167" s="373"/>
      <c r="BD167" s="373"/>
      <c r="BE167" s="373"/>
      <c r="BF167" s="373"/>
      <c r="BG167" s="373"/>
      <c r="BH167" s="373"/>
      <c r="BI167" s="373"/>
      <c r="BJ167" s="373"/>
      <c r="BK167" s="373"/>
      <c r="BL167" s="373"/>
      <c r="BM167" s="373"/>
      <c r="BN167" s="373"/>
      <c r="BO167" s="373"/>
      <c r="BP167" s="373"/>
      <c r="BQ167" s="373"/>
      <c r="BR167" s="373"/>
      <c r="BS167" s="373"/>
      <c r="BT167" s="373"/>
      <c r="BU167" s="373"/>
      <c r="BV167" s="373"/>
      <c r="BW167" s="373"/>
      <c r="BX167" s="373"/>
      <c r="BY167" s="373"/>
      <c r="BZ167" s="373"/>
      <c r="CA167" s="373"/>
      <c r="CB167" s="373"/>
      <c r="CC167" s="373"/>
      <c r="CD167" s="373"/>
      <c r="CE167" s="373"/>
      <c r="CF167" s="373"/>
      <c r="CG167" s="373"/>
      <c r="CH167" s="373"/>
      <c r="CI167" s="373"/>
      <c r="CJ167" s="373"/>
      <c r="CK167" s="373"/>
      <c r="CL167" s="373"/>
      <c r="CM167" s="373"/>
      <c r="CN167" s="373"/>
      <c r="CO167" s="373"/>
      <c r="CP167" s="373"/>
      <c r="CQ167" s="373"/>
      <c r="CR167" s="373"/>
      <c r="CS167" s="373"/>
      <c r="CT167" s="373"/>
      <c r="CU167" s="373"/>
      <c r="CV167" s="373"/>
      <c r="CW167" s="373"/>
      <c r="CX167" s="373"/>
      <c r="CY167" s="373"/>
      <c r="CZ167" s="373"/>
      <c r="DA167" s="373"/>
      <c r="DB167" s="373"/>
      <c r="DC167" s="373"/>
      <c r="DD167" s="373"/>
      <c r="DE167" s="373"/>
      <c r="DF167" s="373"/>
      <c r="DG167" s="373"/>
      <c r="DH167" s="373"/>
      <c r="DI167" s="373"/>
      <c r="DJ167" s="373"/>
      <c r="DK167" s="373"/>
      <c r="DL167" s="373"/>
      <c r="DM167" s="373"/>
      <c r="DN167" s="373"/>
      <c r="DO167" s="373"/>
      <c r="DP167" s="373"/>
      <c r="DQ167" s="373"/>
      <c r="DR167" s="373"/>
      <c r="DS167" s="373"/>
      <c r="DT167" s="373"/>
      <c r="DU167" s="373"/>
      <c r="DV167" s="373"/>
      <c r="DW167" s="373"/>
      <c r="DX167" s="373"/>
      <c r="DY167" s="373"/>
      <c r="DZ167" s="373"/>
      <c r="EA167" s="373"/>
      <c r="EB167" s="373"/>
      <c r="EC167" s="373"/>
      <c r="ED167" s="373"/>
      <c r="EE167" s="373"/>
      <c r="EF167" s="373"/>
      <c r="EG167" s="373"/>
      <c r="EH167" s="373"/>
      <c r="EI167" s="373"/>
      <c r="EJ167" s="373"/>
      <c r="EK167" s="373"/>
      <c r="EL167" s="373"/>
      <c r="EM167" s="373"/>
      <c r="EN167" s="373"/>
      <c r="EO167" s="373"/>
      <c r="EP167" s="373"/>
      <c r="EQ167" s="373"/>
      <c r="ER167" s="373"/>
      <c r="ES167" s="373"/>
      <c r="ET167" s="373"/>
      <c r="EU167" s="373"/>
      <c r="EV167" s="373"/>
      <c r="EW167" s="373"/>
      <c r="EX167" s="373"/>
      <c r="EY167" s="373"/>
      <c r="EZ167" s="373"/>
      <c r="FA167" s="373"/>
      <c r="FB167" s="373"/>
      <c r="FC167" s="373"/>
      <c r="FD167" s="373"/>
      <c r="FE167" s="373"/>
      <c r="FF167" s="373"/>
      <c r="FG167" s="373"/>
      <c r="FH167" s="373"/>
      <c r="FI167" s="373"/>
      <c r="FJ167" s="373"/>
      <c r="FK167" s="373"/>
      <c r="FL167" s="373"/>
      <c r="FM167" s="373"/>
      <c r="FN167" s="373"/>
      <c r="FO167" s="373"/>
      <c r="FP167" s="373"/>
      <c r="FQ167" s="373"/>
      <c r="FR167" s="373"/>
      <c r="FS167" s="373"/>
      <c r="FT167" s="373"/>
      <c r="FU167" s="373"/>
      <c r="FV167" s="373"/>
      <c r="FW167" s="373"/>
      <c r="FX167" s="373"/>
      <c r="FY167" s="373"/>
      <c r="FZ167" s="373"/>
      <c r="GA167" s="373"/>
      <c r="GB167" s="373"/>
      <c r="GC167" s="373"/>
      <c r="GD167" s="373"/>
      <c r="GE167" s="373"/>
      <c r="GF167" s="373"/>
      <c r="GG167" s="373"/>
      <c r="GH167" s="373"/>
      <c r="GI167" s="373"/>
      <c r="GJ167" s="373"/>
      <c r="GK167" s="373"/>
      <c r="GL167" s="373"/>
      <c r="GM167" s="373"/>
      <c r="GN167" s="373"/>
      <c r="GO167" s="373"/>
      <c r="GP167" s="373"/>
      <c r="GQ167" s="373"/>
      <c r="GR167" s="373"/>
      <c r="GS167" s="373"/>
      <c r="GT167" s="373"/>
      <c r="GU167" s="373"/>
      <c r="GV167" s="373"/>
      <c r="GW167" s="373"/>
      <c r="GX167" s="373"/>
      <c r="GY167" s="373"/>
      <c r="GZ167" s="373"/>
      <c r="HA167" s="373"/>
      <c r="HB167" s="373"/>
      <c r="HC167" s="373"/>
      <c r="HD167" s="373"/>
      <c r="HE167" s="373"/>
      <c r="HF167" s="373"/>
      <c r="HG167" s="373"/>
      <c r="HH167" s="373"/>
      <c r="HI167" s="373"/>
      <c r="HJ167" s="373"/>
      <c r="HK167" s="373"/>
      <c r="HL167" s="373"/>
      <c r="HM167" s="373"/>
      <c r="HN167" s="373"/>
      <c r="HO167" s="373"/>
      <c r="HP167" s="373"/>
      <c r="HQ167" s="373"/>
      <c r="HR167" s="373"/>
      <c r="HS167" s="373"/>
      <c r="HT167" s="373"/>
      <c r="HU167" s="373"/>
      <c r="HV167" s="373"/>
      <c r="HW167" s="373"/>
      <c r="HX167" s="373"/>
      <c r="HY167" s="373"/>
      <c r="HZ167" s="373"/>
      <c r="IA167" s="373"/>
      <c r="IB167" s="373"/>
      <c r="IC167" s="373"/>
      <c r="ID167" s="373"/>
      <c r="IE167" s="373"/>
      <c r="IF167" s="373"/>
      <c r="IG167" s="373"/>
      <c r="IH167" s="373"/>
      <c r="II167" s="373"/>
      <c r="IJ167" s="373"/>
      <c r="IK167" s="373"/>
      <c r="IL167" s="373"/>
      <c r="IM167" s="373"/>
      <c r="IN167" s="373"/>
      <c r="IO167" s="373"/>
      <c r="IP167" s="373"/>
      <c r="IQ167" s="373"/>
    </row>
    <row r="168" spans="1:251">
      <c r="A168" s="384"/>
      <c r="B168" s="385" t="s">
        <v>591</v>
      </c>
      <c r="C168" s="356">
        <f>D168+E168</f>
        <v>339000</v>
      </c>
      <c r="D168" s="356">
        <v>339000</v>
      </c>
      <c r="E168" s="376">
        <v>0</v>
      </c>
      <c r="F168" s="368"/>
      <c r="G168" s="386" t="s">
        <v>421</v>
      </c>
      <c r="H168" s="386" t="s">
        <v>421</v>
      </c>
      <c r="I168" s="386" t="s">
        <v>421</v>
      </c>
    </row>
    <row r="169" spans="1:251" ht="9.9499999999999993" customHeight="1">
      <c r="A169" s="384"/>
      <c r="B169" s="385"/>
      <c r="C169" s="356"/>
      <c r="D169" s="356"/>
      <c r="E169" s="376"/>
      <c r="F169" s="368"/>
      <c r="G169" s="356"/>
      <c r="H169" s="356"/>
      <c r="I169" s="356"/>
    </row>
    <row r="170" spans="1:251">
      <c r="A170" s="416"/>
      <c r="B170" s="391" t="s">
        <v>314</v>
      </c>
      <c r="C170" s="386" t="s">
        <v>421</v>
      </c>
      <c r="D170" s="386" t="s">
        <v>421</v>
      </c>
      <c r="E170" s="400" t="s">
        <v>421</v>
      </c>
      <c r="F170" s="368"/>
      <c r="G170" s="356">
        <f>H170+I170</f>
        <v>202000</v>
      </c>
      <c r="H170" s="356">
        <f>339000-137000</f>
        <v>202000</v>
      </c>
      <c r="I170" s="356">
        <v>0</v>
      </c>
      <c r="J170" s="373"/>
      <c r="K170" s="373"/>
      <c r="L170" s="373"/>
      <c r="M170" s="373"/>
      <c r="N170" s="373"/>
      <c r="O170" s="373"/>
      <c r="P170" s="373"/>
      <c r="Q170" s="373"/>
      <c r="R170" s="373"/>
      <c r="S170" s="373"/>
      <c r="T170" s="373"/>
      <c r="U170" s="373"/>
      <c r="V170" s="373"/>
      <c r="W170" s="373"/>
      <c r="X170" s="373"/>
      <c r="Y170" s="373"/>
      <c r="Z170" s="373"/>
      <c r="AA170" s="373"/>
      <c r="AB170" s="373"/>
      <c r="AC170" s="373"/>
      <c r="AD170" s="373"/>
      <c r="AE170" s="373"/>
      <c r="AF170" s="373"/>
      <c r="AG170" s="373"/>
      <c r="AH170" s="373"/>
      <c r="AI170" s="373"/>
      <c r="AJ170" s="373"/>
      <c r="AK170" s="373"/>
      <c r="AL170" s="373"/>
      <c r="AM170" s="373"/>
      <c r="AN170" s="373"/>
      <c r="AO170" s="373"/>
      <c r="AP170" s="373"/>
      <c r="AQ170" s="373"/>
      <c r="AR170" s="373"/>
      <c r="AS170" s="373"/>
      <c r="AT170" s="373"/>
      <c r="AU170" s="373"/>
      <c r="AV170" s="373"/>
      <c r="AW170" s="373"/>
      <c r="AX170" s="373"/>
      <c r="AY170" s="373"/>
      <c r="AZ170" s="373"/>
      <c r="BA170" s="373"/>
      <c r="BB170" s="373"/>
      <c r="BC170" s="373"/>
      <c r="BD170" s="373"/>
      <c r="BE170" s="373"/>
      <c r="BF170" s="373"/>
      <c r="BG170" s="373"/>
      <c r="BH170" s="373"/>
      <c r="BI170" s="373"/>
      <c r="BJ170" s="373"/>
      <c r="BK170" s="373"/>
      <c r="BL170" s="373"/>
      <c r="BM170" s="373"/>
      <c r="BN170" s="373"/>
      <c r="BO170" s="373"/>
      <c r="BP170" s="373"/>
      <c r="BQ170" s="373"/>
      <c r="BR170" s="373"/>
      <c r="BS170" s="373"/>
      <c r="BT170" s="373"/>
      <c r="BU170" s="373"/>
      <c r="BV170" s="373"/>
      <c r="BW170" s="373"/>
      <c r="BX170" s="373"/>
      <c r="BY170" s="373"/>
      <c r="BZ170" s="373"/>
      <c r="CA170" s="373"/>
      <c r="CB170" s="373"/>
      <c r="CC170" s="373"/>
      <c r="CD170" s="373"/>
      <c r="CE170" s="373"/>
      <c r="CF170" s="373"/>
      <c r="CG170" s="373"/>
      <c r="CH170" s="373"/>
      <c r="CI170" s="373"/>
      <c r="CJ170" s="373"/>
      <c r="CK170" s="373"/>
      <c r="CL170" s="373"/>
      <c r="CM170" s="373"/>
      <c r="CN170" s="373"/>
      <c r="CO170" s="373"/>
      <c r="CP170" s="373"/>
      <c r="CQ170" s="373"/>
      <c r="CR170" s="373"/>
      <c r="CS170" s="373"/>
      <c r="CT170" s="373"/>
      <c r="CU170" s="373"/>
      <c r="CV170" s="373"/>
      <c r="CW170" s="373"/>
      <c r="CX170" s="373"/>
      <c r="CY170" s="373"/>
      <c r="CZ170" s="373"/>
      <c r="DA170" s="373"/>
      <c r="DB170" s="373"/>
      <c r="DC170" s="373"/>
      <c r="DD170" s="373"/>
      <c r="DE170" s="373"/>
      <c r="DF170" s="373"/>
      <c r="DG170" s="373"/>
      <c r="DH170" s="373"/>
      <c r="DI170" s="373"/>
      <c r="DJ170" s="373"/>
      <c r="DK170" s="373"/>
      <c r="DL170" s="373"/>
      <c r="DM170" s="373"/>
      <c r="DN170" s="373"/>
      <c r="DO170" s="373"/>
      <c r="DP170" s="373"/>
      <c r="DQ170" s="373"/>
      <c r="DR170" s="373"/>
      <c r="DS170" s="373"/>
      <c r="DT170" s="373"/>
      <c r="DU170" s="373"/>
      <c r="DV170" s="373"/>
      <c r="DW170" s="373"/>
      <c r="DX170" s="373"/>
      <c r="DY170" s="373"/>
      <c r="DZ170" s="373"/>
      <c r="EA170" s="373"/>
      <c r="EB170" s="373"/>
      <c r="EC170" s="373"/>
      <c r="ED170" s="373"/>
      <c r="EE170" s="373"/>
      <c r="EF170" s="373"/>
      <c r="EG170" s="373"/>
      <c r="EH170" s="373"/>
      <c r="EI170" s="373"/>
      <c r="EJ170" s="373"/>
      <c r="EK170" s="373"/>
      <c r="EL170" s="373"/>
      <c r="EM170" s="373"/>
      <c r="EN170" s="373"/>
      <c r="EO170" s="373"/>
      <c r="EP170" s="373"/>
      <c r="EQ170" s="373"/>
      <c r="ER170" s="373"/>
      <c r="ES170" s="373"/>
      <c r="ET170" s="373"/>
      <c r="EU170" s="373"/>
      <c r="EV170" s="373"/>
      <c r="EW170" s="373"/>
      <c r="EX170" s="373"/>
      <c r="EY170" s="373"/>
      <c r="EZ170" s="373"/>
      <c r="FA170" s="373"/>
      <c r="FB170" s="373"/>
      <c r="FC170" s="373"/>
      <c r="FD170" s="373"/>
      <c r="FE170" s="373"/>
      <c r="FF170" s="373"/>
      <c r="FG170" s="373"/>
      <c r="FH170" s="373"/>
      <c r="FI170" s="373"/>
      <c r="FJ170" s="373"/>
      <c r="FK170" s="373"/>
      <c r="FL170" s="373"/>
      <c r="FM170" s="373"/>
      <c r="FN170" s="373"/>
      <c r="FO170" s="373"/>
      <c r="FP170" s="373"/>
      <c r="FQ170" s="373"/>
      <c r="FR170" s="373"/>
      <c r="FS170" s="373"/>
      <c r="FT170" s="373"/>
      <c r="FU170" s="373"/>
      <c r="FV170" s="373"/>
      <c r="FW170" s="373"/>
      <c r="FX170" s="373"/>
      <c r="FY170" s="373"/>
      <c r="FZ170" s="373"/>
      <c r="GA170" s="373"/>
      <c r="GB170" s="373"/>
      <c r="GC170" s="373"/>
      <c r="GD170" s="373"/>
      <c r="GE170" s="373"/>
      <c r="GF170" s="373"/>
      <c r="GG170" s="373"/>
      <c r="GH170" s="373"/>
      <c r="GI170" s="373"/>
      <c r="GJ170" s="373"/>
      <c r="GK170" s="373"/>
      <c r="GL170" s="373"/>
      <c r="GM170" s="373"/>
      <c r="GN170" s="373"/>
      <c r="GO170" s="373"/>
      <c r="GP170" s="373"/>
      <c r="GQ170" s="373"/>
      <c r="GR170" s="373"/>
      <c r="GS170" s="373"/>
      <c r="GT170" s="373"/>
      <c r="GU170" s="373"/>
      <c r="GV170" s="373"/>
      <c r="GW170" s="373"/>
      <c r="GX170" s="373"/>
      <c r="GY170" s="373"/>
      <c r="GZ170" s="373"/>
      <c r="HA170" s="373"/>
      <c r="HB170" s="373"/>
      <c r="HC170" s="373"/>
      <c r="HD170" s="373"/>
      <c r="HE170" s="373"/>
      <c r="HF170" s="373"/>
      <c r="HG170" s="373"/>
      <c r="HH170" s="373"/>
      <c r="HI170" s="373"/>
      <c r="HJ170" s="373"/>
      <c r="HK170" s="373"/>
      <c r="HL170" s="373"/>
      <c r="HM170" s="373"/>
      <c r="HN170" s="373"/>
      <c r="HO170" s="373"/>
      <c r="HP170" s="373"/>
      <c r="HQ170" s="373"/>
      <c r="HR170" s="373"/>
      <c r="HS170" s="373"/>
      <c r="HT170" s="373"/>
      <c r="HU170" s="373"/>
      <c r="HV170" s="373"/>
      <c r="HW170" s="373"/>
      <c r="HX170" s="373"/>
      <c r="HY170" s="373"/>
      <c r="HZ170" s="373"/>
      <c r="IA170" s="373"/>
      <c r="IB170" s="373"/>
      <c r="IC170" s="373"/>
      <c r="ID170" s="373"/>
      <c r="IE170" s="373"/>
      <c r="IF170" s="373"/>
      <c r="IG170" s="373"/>
      <c r="IH170" s="373"/>
      <c r="II170" s="373"/>
      <c r="IJ170" s="373"/>
      <c r="IK170" s="373"/>
      <c r="IL170" s="373"/>
      <c r="IM170" s="373"/>
      <c r="IN170" s="373"/>
      <c r="IO170" s="373"/>
      <c r="IP170" s="373"/>
      <c r="IQ170" s="373"/>
    </row>
    <row r="171" spans="1:251" ht="9.9499999999999993" customHeight="1">
      <c r="A171" s="416"/>
      <c r="B171" s="391"/>
      <c r="C171" s="386"/>
      <c r="D171" s="386"/>
      <c r="E171" s="400"/>
      <c r="F171" s="368"/>
      <c r="G171" s="356"/>
      <c r="H171" s="356"/>
      <c r="I171" s="356"/>
      <c r="J171" s="373"/>
      <c r="K171" s="373"/>
      <c r="L171" s="373"/>
      <c r="M171" s="373"/>
      <c r="N171" s="373"/>
      <c r="O171" s="373"/>
      <c r="P171" s="373"/>
      <c r="Q171" s="373"/>
      <c r="R171" s="373"/>
      <c r="S171" s="373"/>
      <c r="T171" s="373"/>
      <c r="U171" s="373"/>
      <c r="V171" s="373"/>
      <c r="W171" s="373"/>
      <c r="X171" s="373"/>
      <c r="Y171" s="373"/>
      <c r="Z171" s="373"/>
      <c r="AA171" s="373"/>
      <c r="AB171" s="373"/>
      <c r="AC171" s="373"/>
      <c r="AD171" s="373"/>
      <c r="AE171" s="373"/>
      <c r="AF171" s="373"/>
      <c r="AG171" s="373"/>
      <c r="AH171" s="373"/>
      <c r="AI171" s="373"/>
      <c r="AJ171" s="373"/>
      <c r="AK171" s="373"/>
      <c r="AL171" s="373"/>
      <c r="AM171" s="373"/>
      <c r="AN171" s="373"/>
      <c r="AO171" s="373"/>
      <c r="AP171" s="373"/>
      <c r="AQ171" s="373"/>
      <c r="AR171" s="373"/>
      <c r="AS171" s="373"/>
      <c r="AT171" s="373"/>
      <c r="AU171" s="373"/>
      <c r="AV171" s="373"/>
      <c r="AW171" s="373"/>
      <c r="AX171" s="373"/>
      <c r="AY171" s="373"/>
      <c r="AZ171" s="373"/>
      <c r="BA171" s="373"/>
      <c r="BB171" s="373"/>
      <c r="BC171" s="373"/>
      <c r="BD171" s="373"/>
      <c r="BE171" s="373"/>
      <c r="BF171" s="373"/>
      <c r="BG171" s="373"/>
      <c r="BH171" s="373"/>
      <c r="BI171" s="373"/>
      <c r="BJ171" s="373"/>
      <c r="BK171" s="373"/>
      <c r="BL171" s="373"/>
      <c r="BM171" s="373"/>
      <c r="BN171" s="373"/>
      <c r="BO171" s="373"/>
      <c r="BP171" s="373"/>
      <c r="BQ171" s="373"/>
      <c r="BR171" s="373"/>
      <c r="BS171" s="373"/>
      <c r="BT171" s="373"/>
      <c r="BU171" s="373"/>
      <c r="BV171" s="373"/>
      <c r="BW171" s="373"/>
      <c r="BX171" s="373"/>
      <c r="BY171" s="373"/>
      <c r="BZ171" s="373"/>
      <c r="CA171" s="373"/>
      <c r="CB171" s="373"/>
      <c r="CC171" s="373"/>
      <c r="CD171" s="373"/>
      <c r="CE171" s="373"/>
      <c r="CF171" s="373"/>
      <c r="CG171" s="373"/>
      <c r="CH171" s="373"/>
      <c r="CI171" s="373"/>
      <c r="CJ171" s="373"/>
      <c r="CK171" s="373"/>
      <c r="CL171" s="373"/>
      <c r="CM171" s="373"/>
      <c r="CN171" s="373"/>
      <c r="CO171" s="373"/>
      <c r="CP171" s="373"/>
      <c r="CQ171" s="373"/>
      <c r="CR171" s="373"/>
      <c r="CS171" s="373"/>
      <c r="CT171" s="373"/>
      <c r="CU171" s="373"/>
      <c r="CV171" s="373"/>
      <c r="CW171" s="373"/>
      <c r="CX171" s="373"/>
      <c r="CY171" s="373"/>
      <c r="CZ171" s="373"/>
      <c r="DA171" s="373"/>
      <c r="DB171" s="373"/>
      <c r="DC171" s="373"/>
      <c r="DD171" s="373"/>
      <c r="DE171" s="373"/>
      <c r="DF171" s="373"/>
      <c r="DG171" s="373"/>
      <c r="DH171" s="373"/>
      <c r="DI171" s="373"/>
      <c r="DJ171" s="373"/>
      <c r="DK171" s="373"/>
      <c r="DL171" s="373"/>
      <c r="DM171" s="373"/>
      <c r="DN171" s="373"/>
      <c r="DO171" s="373"/>
      <c r="DP171" s="373"/>
      <c r="DQ171" s="373"/>
      <c r="DR171" s="373"/>
      <c r="DS171" s="373"/>
      <c r="DT171" s="373"/>
      <c r="DU171" s="373"/>
      <c r="DV171" s="373"/>
      <c r="DW171" s="373"/>
      <c r="DX171" s="373"/>
      <c r="DY171" s="373"/>
      <c r="DZ171" s="373"/>
      <c r="EA171" s="373"/>
      <c r="EB171" s="373"/>
      <c r="EC171" s="373"/>
      <c r="ED171" s="373"/>
      <c r="EE171" s="373"/>
      <c r="EF171" s="373"/>
      <c r="EG171" s="373"/>
      <c r="EH171" s="373"/>
      <c r="EI171" s="373"/>
      <c r="EJ171" s="373"/>
      <c r="EK171" s="373"/>
      <c r="EL171" s="373"/>
      <c r="EM171" s="373"/>
      <c r="EN171" s="373"/>
      <c r="EO171" s="373"/>
      <c r="EP171" s="373"/>
      <c r="EQ171" s="373"/>
      <c r="ER171" s="373"/>
      <c r="ES171" s="373"/>
      <c r="ET171" s="373"/>
      <c r="EU171" s="373"/>
      <c r="EV171" s="373"/>
      <c r="EW171" s="373"/>
      <c r="EX171" s="373"/>
      <c r="EY171" s="373"/>
      <c r="EZ171" s="373"/>
      <c r="FA171" s="373"/>
      <c r="FB171" s="373"/>
      <c r="FC171" s="373"/>
      <c r="FD171" s="373"/>
      <c r="FE171" s="373"/>
      <c r="FF171" s="373"/>
      <c r="FG171" s="373"/>
      <c r="FH171" s="373"/>
      <c r="FI171" s="373"/>
      <c r="FJ171" s="373"/>
      <c r="FK171" s="373"/>
      <c r="FL171" s="373"/>
      <c r="FM171" s="373"/>
      <c r="FN171" s="373"/>
      <c r="FO171" s="373"/>
      <c r="FP171" s="373"/>
      <c r="FQ171" s="373"/>
      <c r="FR171" s="373"/>
      <c r="FS171" s="373"/>
      <c r="FT171" s="373"/>
      <c r="FU171" s="373"/>
      <c r="FV171" s="373"/>
      <c r="FW171" s="373"/>
      <c r="FX171" s="373"/>
      <c r="FY171" s="373"/>
      <c r="FZ171" s="373"/>
      <c r="GA171" s="373"/>
      <c r="GB171" s="373"/>
      <c r="GC171" s="373"/>
      <c r="GD171" s="373"/>
      <c r="GE171" s="373"/>
      <c r="GF171" s="373"/>
      <c r="GG171" s="373"/>
      <c r="GH171" s="373"/>
      <c r="GI171" s="373"/>
      <c r="GJ171" s="373"/>
      <c r="GK171" s="373"/>
      <c r="GL171" s="373"/>
      <c r="GM171" s="373"/>
      <c r="GN171" s="373"/>
      <c r="GO171" s="373"/>
      <c r="GP171" s="373"/>
      <c r="GQ171" s="373"/>
      <c r="GR171" s="373"/>
      <c r="GS171" s="373"/>
      <c r="GT171" s="373"/>
      <c r="GU171" s="373"/>
      <c r="GV171" s="373"/>
      <c r="GW171" s="373"/>
      <c r="GX171" s="373"/>
      <c r="GY171" s="373"/>
      <c r="GZ171" s="373"/>
      <c r="HA171" s="373"/>
      <c r="HB171" s="373"/>
      <c r="HC171" s="373"/>
      <c r="HD171" s="373"/>
      <c r="HE171" s="373"/>
      <c r="HF171" s="373"/>
      <c r="HG171" s="373"/>
      <c r="HH171" s="373"/>
      <c r="HI171" s="373"/>
      <c r="HJ171" s="373"/>
      <c r="HK171" s="373"/>
      <c r="HL171" s="373"/>
      <c r="HM171" s="373"/>
      <c r="HN171" s="373"/>
      <c r="HO171" s="373"/>
      <c r="HP171" s="373"/>
      <c r="HQ171" s="373"/>
      <c r="HR171" s="373"/>
      <c r="HS171" s="373"/>
      <c r="HT171" s="373"/>
      <c r="HU171" s="373"/>
      <c r="HV171" s="373"/>
      <c r="HW171" s="373"/>
      <c r="HX171" s="373"/>
      <c r="HY171" s="373"/>
      <c r="HZ171" s="373"/>
      <c r="IA171" s="373"/>
      <c r="IB171" s="373"/>
      <c r="IC171" s="373"/>
      <c r="ID171" s="373"/>
      <c r="IE171" s="373"/>
      <c r="IF171" s="373"/>
      <c r="IG171" s="373"/>
      <c r="IH171" s="373"/>
      <c r="II171" s="373"/>
      <c r="IJ171" s="373"/>
      <c r="IK171" s="373"/>
      <c r="IL171" s="373"/>
      <c r="IM171" s="373"/>
      <c r="IN171" s="373"/>
      <c r="IO171" s="373"/>
      <c r="IP171" s="373"/>
      <c r="IQ171" s="373"/>
    </row>
    <row r="172" spans="1:251">
      <c r="A172" s="416"/>
      <c r="B172" s="391" t="s">
        <v>592</v>
      </c>
      <c r="C172" s="386" t="s">
        <v>421</v>
      </c>
      <c r="D172" s="386" t="s">
        <v>421</v>
      </c>
      <c r="E172" s="400" t="s">
        <v>421</v>
      </c>
      <c r="F172" s="368"/>
      <c r="G172" s="356">
        <f>H172+I172</f>
        <v>137000</v>
      </c>
      <c r="H172" s="356">
        <v>137000</v>
      </c>
      <c r="I172" s="356">
        <v>0</v>
      </c>
      <c r="J172" s="373"/>
      <c r="K172" s="373"/>
      <c r="L172" s="373"/>
      <c r="M172" s="373"/>
      <c r="N172" s="373"/>
      <c r="O172" s="373"/>
      <c r="P172" s="373"/>
      <c r="Q172" s="373"/>
      <c r="R172" s="373"/>
      <c r="S172" s="373"/>
      <c r="T172" s="373"/>
      <c r="U172" s="373"/>
      <c r="V172" s="373"/>
      <c r="W172" s="373"/>
      <c r="X172" s="373"/>
      <c r="Y172" s="373"/>
      <c r="Z172" s="373"/>
      <c r="AA172" s="373"/>
      <c r="AB172" s="373"/>
      <c r="AC172" s="373"/>
      <c r="AD172" s="373"/>
      <c r="AE172" s="373"/>
      <c r="AF172" s="373"/>
      <c r="AG172" s="373"/>
      <c r="AH172" s="373"/>
      <c r="AI172" s="373"/>
      <c r="AJ172" s="373"/>
      <c r="AK172" s="373"/>
      <c r="AL172" s="373"/>
      <c r="AM172" s="373"/>
      <c r="AN172" s="373"/>
      <c r="AO172" s="373"/>
      <c r="AP172" s="373"/>
      <c r="AQ172" s="373"/>
      <c r="AR172" s="373"/>
      <c r="AS172" s="373"/>
      <c r="AT172" s="373"/>
      <c r="AU172" s="373"/>
      <c r="AV172" s="373"/>
      <c r="AW172" s="373"/>
      <c r="AX172" s="373"/>
      <c r="AY172" s="373"/>
      <c r="AZ172" s="373"/>
      <c r="BA172" s="373"/>
      <c r="BB172" s="373"/>
      <c r="BC172" s="373"/>
      <c r="BD172" s="373"/>
      <c r="BE172" s="373"/>
      <c r="BF172" s="373"/>
      <c r="BG172" s="373"/>
      <c r="BH172" s="373"/>
      <c r="BI172" s="373"/>
      <c r="BJ172" s="373"/>
      <c r="BK172" s="373"/>
      <c r="BL172" s="373"/>
      <c r="BM172" s="373"/>
      <c r="BN172" s="373"/>
      <c r="BO172" s="373"/>
      <c r="BP172" s="373"/>
      <c r="BQ172" s="373"/>
      <c r="BR172" s="373"/>
      <c r="BS172" s="373"/>
      <c r="BT172" s="373"/>
      <c r="BU172" s="373"/>
      <c r="BV172" s="373"/>
      <c r="BW172" s="373"/>
      <c r="BX172" s="373"/>
      <c r="BY172" s="373"/>
      <c r="BZ172" s="373"/>
      <c r="CA172" s="373"/>
      <c r="CB172" s="373"/>
      <c r="CC172" s="373"/>
      <c r="CD172" s="373"/>
      <c r="CE172" s="373"/>
      <c r="CF172" s="373"/>
      <c r="CG172" s="373"/>
      <c r="CH172" s="373"/>
      <c r="CI172" s="373"/>
      <c r="CJ172" s="373"/>
      <c r="CK172" s="373"/>
      <c r="CL172" s="373"/>
      <c r="CM172" s="373"/>
      <c r="CN172" s="373"/>
      <c r="CO172" s="373"/>
      <c r="CP172" s="373"/>
      <c r="CQ172" s="373"/>
      <c r="CR172" s="373"/>
      <c r="CS172" s="373"/>
      <c r="CT172" s="373"/>
      <c r="CU172" s="373"/>
      <c r="CV172" s="373"/>
      <c r="CW172" s="373"/>
      <c r="CX172" s="373"/>
      <c r="CY172" s="373"/>
      <c r="CZ172" s="373"/>
      <c r="DA172" s="373"/>
      <c r="DB172" s="373"/>
      <c r="DC172" s="373"/>
      <c r="DD172" s="373"/>
      <c r="DE172" s="373"/>
      <c r="DF172" s="373"/>
      <c r="DG172" s="373"/>
      <c r="DH172" s="373"/>
      <c r="DI172" s="373"/>
      <c r="DJ172" s="373"/>
      <c r="DK172" s="373"/>
      <c r="DL172" s="373"/>
      <c r="DM172" s="373"/>
      <c r="DN172" s="373"/>
      <c r="DO172" s="373"/>
      <c r="DP172" s="373"/>
      <c r="DQ172" s="373"/>
      <c r="DR172" s="373"/>
      <c r="DS172" s="373"/>
      <c r="DT172" s="373"/>
      <c r="DU172" s="373"/>
      <c r="DV172" s="373"/>
      <c r="DW172" s="373"/>
      <c r="DX172" s="373"/>
      <c r="DY172" s="373"/>
      <c r="DZ172" s="373"/>
      <c r="EA172" s="373"/>
      <c r="EB172" s="373"/>
      <c r="EC172" s="373"/>
      <c r="ED172" s="373"/>
      <c r="EE172" s="373"/>
      <c r="EF172" s="373"/>
      <c r="EG172" s="373"/>
      <c r="EH172" s="373"/>
      <c r="EI172" s="373"/>
      <c r="EJ172" s="373"/>
      <c r="EK172" s="373"/>
      <c r="EL172" s="373"/>
      <c r="EM172" s="373"/>
      <c r="EN172" s="373"/>
      <c r="EO172" s="373"/>
      <c r="EP172" s="373"/>
      <c r="EQ172" s="373"/>
      <c r="ER172" s="373"/>
      <c r="ES172" s="373"/>
      <c r="ET172" s="373"/>
      <c r="EU172" s="373"/>
      <c r="EV172" s="373"/>
      <c r="EW172" s="373"/>
      <c r="EX172" s="373"/>
      <c r="EY172" s="373"/>
      <c r="EZ172" s="373"/>
      <c r="FA172" s="373"/>
      <c r="FB172" s="373"/>
      <c r="FC172" s="373"/>
      <c r="FD172" s="373"/>
      <c r="FE172" s="373"/>
      <c r="FF172" s="373"/>
      <c r="FG172" s="373"/>
      <c r="FH172" s="373"/>
      <c r="FI172" s="373"/>
      <c r="FJ172" s="373"/>
      <c r="FK172" s="373"/>
      <c r="FL172" s="373"/>
      <c r="FM172" s="373"/>
      <c r="FN172" s="373"/>
      <c r="FO172" s="373"/>
      <c r="FP172" s="373"/>
      <c r="FQ172" s="373"/>
      <c r="FR172" s="373"/>
      <c r="FS172" s="373"/>
      <c r="FT172" s="373"/>
      <c r="FU172" s="373"/>
      <c r="FV172" s="373"/>
      <c r="FW172" s="373"/>
      <c r="FX172" s="373"/>
      <c r="FY172" s="373"/>
      <c r="FZ172" s="373"/>
      <c r="GA172" s="373"/>
      <c r="GB172" s="373"/>
      <c r="GC172" s="373"/>
      <c r="GD172" s="373"/>
      <c r="GE172" s="373"/>
      <c r="GF172" s="373"/>
      <c r="GG172" s="373"/>
      <c r="GH172" s="373"/>
      <c r="GI172" s="373"/>
      <c r="GJ172" s="373"/>
      <c r="GK172" s="373"/>
      <c r="GL172" s="373"/>
      <c r="GM172" s="373"/>
      <c r="GN172" s="373"/>
      <c r="GO172" s="373"/>
      <c r="GP172" s="373"/>
      <c r="GQ172" s="373"/>
      <c r="GR172" s="373"/>
      <c r="GS172" s="373"/>
      <c r="GT172" s="373"/>
      <c r="GU172" s="373"/>
      <c r="GV172" s="373"/>
      <c r="GW172" s="373"/>
      <c r="GX172" s="373"/>
      <c r="GY172" s="373"/>
      <c r="GZ172" s="373"/>
      <c r="HA172" s="373"/>
      <c r="HB172" s="373"/>
      <c r="HC172" s="373"/>
      <c r="HD172" s="373"/>
      <c r="HE172" s="373"/>
      <c r="HF172" s="373"/>
      <c r="HG172" s="373"/>
      <c r="HH172" s="373"/>
      <c r="HI172" s="373"/>
      <c r="HJ172" s="373"/>
      <c r="HK172" s="373"/>
      <c r="HL172" s="373"/>
      <c r="HM172" s="373"/>
      <c r="HN172" s="373"/>
      <c r="HO172" s="373"/>
      <c r="HP172" s="373"/>
      <c r="HQ172" s="373"/>
      <c r="HR172" s="373"/>
      <c r="HS172" s="373"/>
      <c r="HT172" s="373"/>
      <c r="HU172" s="373"/>
      <c r="HV172" s="373"/>
      <c r="HW172" s="373"/>
      <c r="HX172" s="373"/>
      <c r="HY172" s="373"/>
      <c r="HZ172" s="373"/>
      <c r="IA172" s="373"/>
      <c r="IB172" s="373"/>
      <c r="IC172" s="373"/>
      <c r="ID172" s="373"/>
      <c r="IE172" s="373"/>
      <c r="IF172" s="373"/>
      <c r="IG172" s="373"/>
      <c r="IH172" s="373"/>
      <c r="II172" s="373"/>
      <c r="IJ172" s="373"/>
      <c r="IK172" s="373"/>
      <c r="IL172" s="373"/>
      <c r="IM172" s="373"/>
      <c r="IN172" s="373"/>
      <c r="IO172" s="373"/>
      <c r="IP172" s="373"/>
      <c r="IQ172" s="373"/>
    </row>
    <row r="173" spans="1:251" ht="9.9499999999999993" customHeight="1">
      <c r="A173" s="374"/>
      <c r="B173" s="375"/>
      <c r="C173" s="396"/>
      <c r="D173" s="396"/>
      <c r="E173" s="397"/>
      <c r="F173" s="368"/>
      <c r="G173" s="356"/>
      <c r="H173" s="356"/>
      <c r="I173" s="356"/>
    </row>
    <row r="174" spans="1:251">
      <c r="A174" s="369" t="s">
        <v>614</v>
      </c>
      <c r="B174" s="370" t="s">
        <v>45</v>
      </c>
      <c r="C174" s="371">
        <f>C176+C182</f>
        <v>261950</v>
      </c>
      <c r="D174" s="371">
        <f>D176+D182</f>
        <v>59000</v>
      </c>
      <c r="E174" s="371">
        <f>E176+E182</f>
        <v>202950</v>
      </c>
      <c r="F174" s="368"/>
      <c r="G174" s="371">
        <f>G176+G182</f>
        <v>261950</v>
      </c>
      <c r="H174" s="371">
        <f>H176+H182</f>
        <v>59000</v>
      </c>
      <c r="I174" s="371">
        <f>I176+I182</f>
        <v>202950</v>
      </c>
      <c r="J174" s="373"/>
      <c r="K174" s="373"/>
      <c r="L174" s="373"/>
      <c r="M174" s="373"/>
      <c r="N174" s="373"/>
      <c r="O174" s="373"/>
      <c r="P174" s="373"/>
      <c r="Q174" s="373"/>
      <c r="R174" s="373"/>
      <c r="S174" s="373"/>
      <c r="T174" s="373"/>
      <c r="U174" s="373"/>
      <c r="V174" s="373"/>
      <c r="W174" s="373"/>
      <c r="X174" s="373"/>
      <c r="Y174" s="373"/>
      <c r="Z174" s="373"/>
      <c r="AA174" s="373"/>
      <c r="AB174" s="373"/>
      <c r="AC174" s="373"/>
      <c r="AD174" s="373"/>
      <c r="AE174" s="373"/>
      <c r="AF174" s="373"/>
      <c r="AG174" s="373"/>
      <c r="AH174" s="373"/>
      <c r="AI174" s="373"/>
      <c r="AJ174" s="373"/>
      <c r="AK174" s="373"/>
      <c r="AL174" s="373"/>
      <c r="AM174" s="373"/>
      <c r="AN174" s="373"/>
      <c r="AO174" s="373"/>
      <c r="AP174" s="373"/>
      <c r="AQ174" s="373"/>
      <c r="AR174" s="373"/>
      <c r="AS174" s="373"/>
      <c r="AT174" s="373"/>
      <c r="AU174" s="373"/>
      <c r="AV174" s="373"/>
      <c r="AW174" s="373"/>
      <c r="AX174" s="373"/>
      <c r="AY174" s="373"/>
      <c r="AZ174" s="373"/>
      <c r="BA174" s="373"/>
      <c r="BB174" s="373"/>
      <c r="BC174" s="373"/>
      <c r="BD174" s="373"/>
      <c r="BE174" s="373"/>
      <c r="BF174" s="373"/>
      <c r="BG174" s="373"/>
      <c r="BH174" s="373"/>
      <c r="BI174" s="373"/>
      <c r="BJ174" s="373"/>
      <c r="BK174" s="373"/>
      <c r="BL174" s="373"/>
      <c r="BM174" s="373"/>
      <c r="BN174" s="373"/>
      <c r="BO174" s="373"/>
      <c r="BP174" s="373"/>
      <c r="BQ174" s="373"/>
      <c r="BR174" s="373"/>
      <c r="BS174" s="373"/>
      <c r="BT174" s="373"/>
      <c r="BU174" s="373"/>
      <c r="BV174" s="373"/>
      <c r="BW174" s="373"/>
      <c r="BX174" s="373"/>
      <c r="BY174" s="373"/>
      <c r="BZ174" s="373"/>
      <c r="CA174" s="373"/>
      <c r="CB174" s="373"/>
      <c r="CC174" s="373"/>
      <c r="CD174" s="373"/>
      <c r="CE174" s="373"/>
      <c r="CF174" s="373"/>
      <c r="CG174" s="373"/>
      <c r="CH174" s="373"/>
      <c r="CI174" s="373"/>
      <c r="CJ174" s="373"/>
      <c r="CK174" s="373"/>
      <c r="CL174" s="373"/>
      <c r="CM174" s="373"/>
      <c r="CN174" s="373"/>
      <c r="CO174" s="373"/>
      <c r="CP174" s="373"/>
      <c r="CQ174" s="373"/>
      <c r="CR174" s="373"/>
      <c r="CS174" s="373"/>
      <c r="CT174" s="373"/>
      <c r="CU174" s="373"/>
      <c r="CV174" s="373"/>
      <c r="CW174" s="373"/>
      <c r="CX174" s="373"/>
      <c r="CY174" s="373"/>
      <c r="CZ174" s="373"/>
      <c r="DA174" s="373"/>
      <c r="DB174" s="373"/>
      <c r="DC174" s="373"/>
      <c r="DD174" s="373"/>
      <c r="DE174" s="373"/>
      <c r="DF174" s="373"/>
      <c r="DG174" s="373"/>
      <c r="DH174" s="373"/>
      <c r="DI174" s="373"/>
      <c r="DJ174" s="373"/>
      <c r="DK174" s="373"/>
      <c r="DL174" s="373"/>
      <c r="DM174" s="373"/>
      <c r="DN174" s="373"/>
      <c r="DO174" s="373"/>
      <c r="DP174" s="373"/>
      <c r="DQ174" s="373"/>
      <c r="DR174" s="373"/>
      <c r="DS174" s="373"/>
      <c r="DT174" s="373"/>
      <c r="DU174" s="373"/>
      <c r="DV174" s="373"/>
      <c r="DW174" s="373"/>
      <c r="DX174" s="373"/>
      <c r="DY174" s="373"/>
      <c r="DZ174" s="373"/>
      <c r="EA174" s="373"/>
      <c r="EB174" s="373"/>
      <c r="EC174" s="373"/>
      <c r="ED174" s="373"/>
      <c r="EE174" s="373"/>
      <c r="EF174" s="373"/>
      <c r="EG174" s="373"/>
      <c r="EH174" s="373"/>
      <c r="EI174" s="373"/>
      <c r="EJ174" s="373"/>
      <c r="EK174" s="373"/>
      <c r="EL174" s="373"/>
      <c r="EM174" s="373"/>
      <c r="EN174" s="373"/>
      <c r="EO174" s="373"/>
      <c r="EP174" s="373"/>
      <c r="EQ174" s="373"/>
      <c r="ER174" s="373"/>
      <c r="ES174" s="373"/>
      <c r="ET174" s="373"/>
      <c r="EU174" s="373"/>
      <c r="EV174" s="373"/>
      <c r="EW174" s="373"/>
      <c r="EX174" s="373"/>
      <c r="EY174" s="373"/>
      <c r="EZ174" s="373"/>
      <c r="FA174" s="373"/>
      <c r="FB174" s="373"/>
      <c r="FC174" s="373"/>
      <c r="FD174" s="373"/>
      <c r="FE174" s="373"/>
      <c r="FF174" s="373"/>
      <c r="FG174" s="373"/>
      <c r="FH174" s="373"/>
      <c r="FI174" s="373"/>
      <c r="FJ174" s="373"/>
      <c r="FK174" s="373"/>
      <c r="FL174" s="373"/>
      <c r="FM174" s="373"/>
      <c r="FN174" s="373"/>
      <c r="FO174" s="373"/>
      <c r="FP174" s="373"/>
      <c r="FQ174" s="373"/>
      <c r="FR174" s="373"/>
      <c r="FS174" s="373"/>
      <c r="FT174" s="373"/>
      <c r="FU174" s="373"/>
      <c r="FV174" s="373"/>
      <c r="FW174" s="373"/>
      <c r="FX174" s="373"/>
      <c r="FY174" s="373"/>
      <c r="FZ174" s="373"/>
      <c r="GA174" s="373"/>
      <c r="GB174" s="373"/>
      <c r="GC174" s="373"/>
      <c r="GD174" s="373"/>
      <c r="GE174" s="373"/>
      <c r="GF174" s="373"/>
      <c r="GG174" s="373"/>
      <c r="GH174" s="373"/>
      <c r="GI174" s="373"/>
      <c r="GJ174" s="373"/>
      <c r="GK174" s="373"/>
      <c r="GL174" s="373"/>
      <c r="GM174" s="373"/>
      <c r="GN174" s="373"/>
      <c r="GO174" s="373"/>
      <c r="GP174" s="373"/>
      <c r="GQ174" s="373"/>
      <c r="GR174" s="373"/>
      <c r="GS174" s="373"/>
      <c r="GT174" s="373"/>
      <c r="GU174" s="373"/>
      <c r="GV174" s="373"/>
      <c r="GW174" s="373"/>
      <c r="GX174" s="373"/>
      <c r="GY174" s="373"/>
      <c r="GZ174" s="373"/>
      <c r="HA174" s="373"/>
      <c r="HB174" s="373"/>
      <c r="HC174" s="373"/>
      <c r="HD174" s="373"/>
      <c r="HE174" s="373"/>
      <c r="HF174" s="373"/>
      <c r="HG174" s="373"/>
      <c r="HH174" s="373"/>
      <c r="HI174" s="373"/>
      <c r="HJ174" s="373"/>
      <c r="HK174" s="373"/>
      <c r="HL174" s="373"/>
      <c r="HM174" s="373"/>
      <c r="HN174" s="373"/>
      <c r="HO174" s="373"/>
      <c r="HP174" s="373"/>
      <c r="HQ174" s="373"/>
      <c r="HR174" s="373"/>
      <c r="HS174" s="373"/>
      <c r="HT174" s="373"/>
      <c r="HU174" s="373"/>
      <c r="HV174" s="373"/>
      <c r="HW174" s="373"/>
      <c r="HX174" s="373"/>
      <c r="HY174" s="373"/>
      <c r="HZ174" s="373"/>
      <c r="IA174" s="373"/>
      <c r="IB174" s="373"/>
      <c r="IC174" s="373"/>
      <c r="ID174" s="373"/>
      <c r="IE174" s="373"/>
      <c r="IF174" s="373"/>
      <c r="IG174" s="373"/>
      <c r="IH174" s="373"/>
      <c r="II174" s="373"/>
      <c r="IJ174" s="373"/>
      <c r="IK174" s="373"/>
      <c r="IL174" s="373"/>
      <c r="IM174" s="373"/>
      <c r="IN174" s="373"/>
      <c r="IO174" s="373"/>
      <c r="IP174" s="373"/>
      <c r="IQ174" s="373"/>
    </row>
    <row r="175" spans="1:251" ht="9.9499999999999993" customHeight="1">
      <c r="A175" s="374"/>
      <c r="B175" s="375"/>
      <c r="C175" s="396"/>
      <c r="D175" s="396"/>
      <c r="E175" s="397"/>
      <c r="F175" s="368"/>
      <c r="G175" s="356"/>
      <c r="H175" s="356"/>
      <c r="I175" s="356"/>
    </row>
    <row r="176" spans="1:251">
      <c r="A176" s="1099" t="s">
        <v>615</v>
      </c>
      <c r="B176" s="1099"/>
      <c r="C176" s="378">
        <f>C178</f>
        <v>59000</v>
      </c>
      <c r="D176" s="378">
        <f>D178</f>
        <v>59000</v>
      </c>
      <c r="E176" s="379">
        <f>E178</f>
        <v>0</v>
      </c>
      <c r="F176" s="368"/>
      <c r="G176" s="378">
        <f>G180</f>
        <v>59000</v>
      </c>
      <c r="H176" s="378">
        <f>H180</f>
        <v>59000</v>
      </c>
      <c r="I176" s="378">
        <f>I180</f>
        <v>0</v>
      </c>
      <c r="J176" s="377"/>
      <c r="K176" s="377"/>
      <c r="L176" s="377"/>
      <c r="M176" s="377"/>
      <c r="N176" s="377"/>
      <c r="O176" s="377"/>
      <c r="P176" s="377"/>
      <c r="Q176" s="377"/>
      <c r="R176" s="377"/>
      <c r="S176" s="377"/>
      <c r="T176" s="377"/>
      <c r="U176" s="377"/>
      <c r="V176" s="377"/>
      <c r="W176" s="377"/>
      <c r="X176" s="377"/>
      <c r="Y176" s="377"/>
      <c r="Z176" s="377"/>
      <c r="AA176" s="377"/>
      <c r="AB176" s="377"/>
      <c r="AC176" s="377"/>
      <c r="AD176" s="377"/>
      <c r="AE176" s="377"/>
      <c r="AF176" s="377"/>
      <c r="AG176" s="377"/>
      <c r="AH176" s="377"/>
      <c r="AI176" s="377"/>
      <c r="AJ176" s="377"/>
      <c r="AK176" s="377"/>
      <c r="AL176" s="377"/>
      <c r="AM176" s="377"/>
      <c r="AN176" s="377"/>
      <c r="AO176" s="377"/>
      <c r="AP176" s="377"/>
      <c r="AQ176" s="377"/>
      <c r="AR176" s="377"/>
      <c r="AS176" s="377"/>
      <c r="AT176" s="377"/>
      <c r="AU176" s="377"/>
      <c r="AV176" s="377"/>
      <c r="AW176" s="377"/>
      <c r="AX176" s="377"/>
      <c r="AY176" s="377"/>
      <c r="AZ176" s="377"/>
      <c r="BA176" s="377"/>
      <c r="BB176" s="377"/>
      <c r="BC176" s="377"/>
      <c r="BD176" s="377"/>
      <c r="BE176" s="377"/>
      <c r="BF176" s="377"/>
      <c r="BG176" s="377"/>
      <c r="BH176" s="377"/>
      <c r="BI176" s="377"/>
      <c r="BJ176" s="377"/>
      <c r="BK176" s="377"/>
      <c r="BL176" s="377"/>
      <c r="BM176" s="377"/>
      <c r="BN176" s="377"/>
      <c r="BO176" s="377"/>
      <c r="BP176" s="377"/>
      <c r="BQ176" s="377"/>
      <c r="BR176" s="377"/>
      <c r="BS176" s="377"/>
      <c r="BT176" s="377"/>
      <c r="BU176" s="377"/>
      <c r="BV176" s="377"/>
      <c r="BW176" s="377"/>
      <c r="BX176" s="377"/>
      <c r="BY176" s="377"/>
      <c r="BZ176" s="377"/>
      <c r="CA176" s="377"/>
      <c r="CB176" s="377"/>
      <c r="CC176" s="377"/>
      <c r="CD176" s="377"/>
      <c r="CE176" s="377"/>
      <c r="CF176" s="377"/>
      <c r="CG176" s="377"/>
      <c r="CH176" s="377"/>
      <c r="CI176" s="377"/>
      <c r="CJ176" s="377"/>
      <c r="CK176" s="377"/>
      <c r="CL176" s="377"/>
      <c r="CM176" s="377"/>
      <c r="CN176" s="377"/>
      <c r="CO176" s="377"/>
      <c r="CP176" s="377"/>
      <c r="CQ176" s="377"/>
      <c r="CR176" s="377"/>
      <c r="CS176" s="377"/>
      <c r="CT176" s="377"/>
      <c r="CU176" s="377"/>
      <c r="CV176" s="377"/>
      <c r="CW176" s="377"/>
      <c r="CX176" s="377"/>
      <c r="CY176" s="377"/>
      <c r="CZ176" s="377"/>
      <c r="DA176" s="377"/>
      <c r="DB176" s="377"/>
      <c r="DC176" s="377"/>
      <c r="DD176" s="377"/>
      <c r="DE176" s="377"/>
      <c r="DF176" s="377"/>
      <c r="DG176" s="377"/>
      <c r="DH176" s="377"/>
      <c r="DI176" s="377"/>
      <c r="DJ176" s="377"/>
      <c r="DK176" s="377"/>
      <c r="DL176" s="377"/>
      <c r="DM176" s="377"/>
      <c r="DN176" s="377"/>
      <c r="DO176" s="377"/>
      <c r="DP176" s="377"/>
      <c r="DQ176" s="377"/>
      <c r="DR176" s="377"/>
      <c r="DS176" s="377"/>
      <c r="DT176" s="377"/>
      <c r="DU176" s="377"/>
      <c r="DV176" s="377"/>
      <c r="DW176" s="377"/>
      <c r="DX176" s="377"/>
      <c r="DY176" s="377"/>
      <c r="DZ176" s="377"/>
      <c r="EA176" s="377"/>
      <c r="EB176" s="377"/>
      <c r="EC176" s="377"/>
      <c r="ED176" s="377"/>
      <c r="EE176" s="377"/>
      <c r="EF176" s="377"/>
      <c r="EG176" s="377"/>
      <c r="EH176" s="377"/>
      <c r="EI176" s="377"/>
      <c r="EJ176" s="377"/>
      <c r="EK176" s="377"/>
      <c r="EL176" s="377"/>
      <c r="EM176" s="377"/>
      <c r="EN176" s="377"/>
      <c r="EO176" s="377"/>
      <c r="EP176" s="377"/>
      <c r="EQ176" s="377"/>
      <c r="ER176" s="377"/>
      <c r="ES176" s="377"/>
      <c r="ET176" s="377"/>
      <c r="EU176" s="377"/>
      <c r="EV176" s="377"/>
      <c r="EW176" s="377"/>
      <c r="EX176" s="377"/>
      <c r="EY176" s="377"/>
      <c r="EZ176" s="377"/>
      <c r="FA176" s="377"/>
      <c r="FB176" s="377"/>
      <c r="FC176" s="377"/>
      <c r="FD176" s="377"/>
      <c r="FE176" s="377"/>
      <c r="FF176" s="377"/>
      <c r="FG176" s="377"/>
      <c r="FH176" s="377"/>
      <c r="FI176" s="377"/>
      <c r="FJ176" s="377"/>
      <c r="FK176" s="377"/>
      <c r="FL176" s="377"/>
      <c r="FM176" s="377"/>
      <c r="FN176" s="377"/>
      <c r="FO176" s="377"/>
      <c r="FP176" s="377"/>
      <c r="FQ176" s="377"/>
      <c r="FR176" s="377"/>
      <c r="FS176" s="377"/>
      <c r="FT176" s="377"/>
      <c r="FU176" s="377"/>
      <c r="FV176" s="377"/>
      <c r="FW176" s="377"/>
      <c r="FX176" s="377"/>
      <c r="FY176" s="377"/>
      <c r="FZ176" s="377"/>
      <c r="GA176" s="377"/>
      <c r="GB176" s="377"/>
      <c r="GC176" s="377"/>
      <c r="GD176" s="377"/>
      <c r="GE176" s="377"/>
      <c r="GF176" s="377"/>
      <c r="GG176" s="377"/>
      <c r="GH176" s="377"/>
      <c r="GI176" s="377"/>
      <c r="GJ176" s="377"/>
      <c r="GK176" s="377"/>
      <c r="GL176" s="377"/>
      <c r="GM176" s="377"/>
      <c r="GN176" s="377"/>
      <c r="GO176" s="377"/>
      <c r="GP176" s="377"/>
      <c r="GQ176" s="377"/>
      <c r="GR176" s="377"/>
      <c r="GS176" s="377"/>
      <c r="GT176" s="377"/>
      <c r="GU176" s="377"/>
      <c r="GV176" s="377"/>
      <c r="GW176" s="377"/>
      <c r="GX176" s="377"/>
      <c r="GY176" s="377"/>
      <c r="GZ176" s="377"/>
      <c r="HA176" s="377"/>
      <c r="HB176" s="377"/>
      <c r="HC176" s="377"/>
      <c r="HD176" s="377"/>
      <c r="HE176" s="377"/>
      <c r="HF176" s="377"/>
      <c r="HG176" s="377"/>
      <c r="HH176" s="377"/>
      <c r="HI176" s="377"/>
      <c r="HJ176" s="377"/>
      <c r="HK176" s="377"/>
      <c r="HL176" s="377"/>
      <c r="HM176" s="377"/>
      <c r="HN176" s="377"/>
      <c r="HO176" s="377"/>
      <c r="HP176" s="377"/>
      <c r="HQ176" s="377"/>
      <c r="HR176" s="377"/>
      <c r="HS176" s="377"/>
      <c r="HT176" s="377"/>
      <c r="HU176" s="377"/>
      <c r="HV176" s="377"/>
      <c r="HW176" s="377"/>
      <c r="HX176" s="377"/>
      <c r="HY176" s="377"/>
      <c r="HZ176" s="377"/>
      <c r="IA176" s="377"/>
      <c r="IB176" s="377"/>
      <c r="IC176" s="377"/>
      <c r="ID176" s="377"/>
      <c r="IE176" s="377"/>
      <c r="IF176" s="377"/>
      <c r="IG176" s="377"/>
      <c r="IH176" s="377"/>
      <c r="II176" s="377"/>
      <c r="IJ176" s="377"/>
      <c r="IK176" s="377"/>
      <c r="IL176" s="377"/>
      <c r="IM176" s="377"/>
      <c r="IN176" s="377"/>
      <c r="IO176" s="377"/>
      <c r="IP176" s="377"/>
      <c r="IQ176" s="377"/>
    </row>
    <row r="177" spans="1:251" ht="9.9499999999999993" customHeight="1">
      <c r="A177" s="369"/>
      <c r="B177" s="398"/>
      <c r="C177" s="371"/>
      <c r="D177" s="371"/>
      <c r="E177" s="372"/>
      <c r="F177" s="368"/>
      <c r="G177" s="399"/>
      <c r="H177" s="399"/>
      <c r="I177" s="399"/>
      <c r="J177" s="373"/>
      <c r="K177" s="373"/>
      <c r="L177" s="373"/>
      <c r="M177" s="373"/>
      <c r="N177" s="373"/>
      <c r="O177" s="373"/>
      <c r="P177" s="373"/>
      <c r="Q177" s="373"/>
      <c r="R177" s="373"/>
      <c r="S177" s="373"/>
      <c r="T177" s="373"/>
      <c r="U177" s="373"/>
      <c r="V177" s="373"/>
      <c r="W177" s="373"/>
      <c r="X177" s="373"/>
      <c r="Y177" s="373"/>
      <c r="Z177" s="373"/>
      <c r="AA177" s="373"/>
      <c r="AB177" s="373"/>
      <c r="AC177" s="373"/>
      <c r="AD177" s="373"/>
      <c r="AE177" s="373"/>
      <c r="AF177" s="373"/>
      <c r="AG177" s="373"/>
      <c r="AH177" s="373"/>
      <c r="AI177" s="373"/>
      <c r="AJ177" s="373"/>
      <c r="AK177" s="373"/>
      <c r="AL177" s="373"/>
      <c r="AM177" s="373"/>
      <c r="AN177" s="373"/>
      <c r="AO177" s="373"/>
      <c r="AP177" s="373"/>
      <c r="AQ177" s="373"/>
      <c r="AR177" s="373"/>
      <c r="AS177" s="373"/>
      <c r="AT177" s="373"/>
      <c r="AU177" s="373"/>
      <c r="AV177" s="373"/>
      <c r="AW177" s="373"/>
      <c r="AX177" s="373"/>
      <c r="AY177" s="373"/>
      <c r="AZ177" s="373"/>
      <c r="BA177" s="373"/>
      <c r="BB177" s="373"/>
      <c r="BC177" s="373"/>
      <c r="BD177" s="373"/>
      <c r="BE177" s="373"/>
      <c r="BF177" s="373"/>
      <c r="BG177" s="373"/>
      <c r="BH177" s="373"/>
      <c r="BI177" s="373"/>
      <c r="BJ177" s="373"/>
      <c r="BK177" s="373"/>
      <c r="BL177" s="373"/>
      <c r="BM177" s="373"/>
      <c r="BN177" s="373"/>
      <c r="BO177" s="373"/>
      <c r="BP177" s="373"/>
      <c r="BQ177" s="373"/>
      <c r="BR177" s="373"/>
      <c r="BS177" s="373"/>
      <c r="BT177" s="373"/>
      <c r="BU177" s="373"/>
      <c r="BV177" s="373"/>
      <c r="BW177" s="373"/>
      <c r="BX177" s="373"/>
      <c r="BY177" s="373"/>
      <c r="BZ177" s="373"/>
      <c r="CA177" s="373"/>
      <c r="CB177" s="373"/>
      <c r="CC177" s="373"/>
      <c r="CD177" s="373"/>
      <c r="CE177" s="373"/>
      <c r="CF177" s="373"/>
      <c r="CG177" s="373"/>
      <c r="CH177" s="373"/>
      <c r="CI177" s="373"/>
      <c r="CJ177" s="373"/>
      <c r="CK177" s="373"/>
      <c r="CL177" s="373"/>
      <c r="CM177" s="373"/>
      <c r="CN177" s="373"/>
      <c r="CO177" s="373"/>
      <c r="CP177" s="373"/>
      <c r="CQ177" s="373"/>
      <c r="CR177" s="373"/>
      <c r="CS177" s="373"/>
      <c r="CT177" s="373"/>
      <c r="CU177" s="373"/>
      <c r="CV177" s="373"/>
      <c r="CW177" s="373"/>
      <c r="CX177" s="373"/>
      <c r="CY177" s="373"/>
      <c r="CZ177" s="373"/>
      <c r="DA177" s="373"/>
      <c r="DB177" s="373"/>
      <c r="DC177" s="373"/>
      <c r="DD177" s="373"/>
      <c r="DE177" s="373"/>
      <c r="DF177" s="373"/>
      <c r="DG177" s="373"/>
      <c r="DH177" s="373"/>
      <c r="DI177" s="373"/>
      <c r="DJ177" s="373"/>
      <c r="DK177" s="373"/>
      <c r="DL177" s="373"/>
      <c r="DM177" s="373"/>
      <c r="DN177" s="373"/>
      <c r="DO177" s="373"/>
      <c r="DP177" s="373"/>
      <c r="DQ177" s="373"/>
      <c r="DR177" s="373"/>
      <c r="DS177" s="373"/>
      <c r="DT177" s="373"/>
      <c r="DU177" s="373"/>
      <c r="DV177" s="373"/>
      <c r="DW177" s="373"/>
      <c r="DX177" s="373"/>
      <c r="DY177" s="373"/>
      <c r="DZ177" s="373"/>
      <c r="EA177" s="373"/>
      <c r="EB177" s="373"/>
      <c r="EC177" s="373"/>
      <c r="ED177" s="373"/>
      <c r="EE177" s="373"/>
      <c r="EF177" s="373"/>
      <c r="EG177" s="373"/>
      <c r="EH177" s="373"/>
      <c r="EI177" s="373"/>
      <c r="EJ177" s="373"/>
      <c r="EK177" s="373"/>
      <c r="EL177" s="373"/>
      <c r="EM177" s="373"/>
      <c r="EN177" s="373"/>
      <c r="EO177" s="373"/>
      <c r="EP177" s="373"/>
      <c r="EQ177" s="373"/>
      <c r="ER177" s="373"/>
      <c r="ES177" s="373"/>
      <c r="ET177" s="373"/>
      <c r="EU177" s="373"/>
      <c r="EV177" s="373"/>
      <c r="EW177" s="373"/>
      <c r="EX177" s="373"/>
      <c r="EY177" s="373"/>
      <c r="EZ177" s="373"/>
      <c r="FA177" s="373"/>
      <c r="FB177" s="373"/>
      <c r="FC177" s="373"/>
      <c r="FD177" s="373"/>
      <c r="FE177" s="373"/>
      <c r="FF177" s="373"/>
      <c r="FG177" s="373"/>
      <c r="FH177" s="373"/>
      <c r="FI177" s="373"/>
      <c r="FJ177" s="373"/>
      <c r="FK177" s="373"/>
      <c r="FL177" s="373"/>
      <c r="FM177" s="373"/>
      <c r="FN177" s="373"/>
      <c r="FO177" s="373"/>
      <c r="FP177" s="373"/>
      <c r="FQ177" s="373"/>
      <c r="FR177" s="373"/>
      <c r="FS177" s="373"/>
      <c r="FT177" s="373"/>
      <c r="FU177" s="373"/>
      <c r="FV177" s="373"/>
      <c r="FW177" s="373"/>
      <c r="FX177" s="373"/>
      <c r="FY177" s="373"/>
      <c r="FZ177" s="373"/>
      <c r="GA177" s="373"/>
      <c r="GB177" s="373"/>
      <c r="GC177" s="373"/>
      <c r="GD177" s="373"/>
      <c r="GE177" s="373"/>
      <c r="GF177" s="373"/>
      <c r="GG177" s="373"/>
      <c r="GH177" s="373"/>
      <c r="GI177" s="373"/>
      <c r="GJ177" s="373"/>
      <c r="GK177" s="373"/>
      <c r="GL177" s="373"/>
      <c r="GM177" s="373"/>
      <c r="GN177" s="373"/>
      <c r="GO177" s="373"/>
      <c r="GP177" s="373"/>
      <c r="GQ177" s="373"/>
      <c r="GR177" s="373"/>
      <c r="GS177" s="373"/>
      <c r="GT177" s="373"/>
      <c r="GU177" s="373"/>
      <c r="GV177" s="373"/>
      <c r="GW177" s="373"/>
      <c r="GX177" s="373"/>
      <c r="GY177" s="373"/>
      <c r="GZ177" s="373"/>
      <c r="HA177" s="373"/>
      <c r="HB177" s="373"/>
      <c r="HC177" s="373"/>
      <c r="HD177" s="373"/>
      <c r="HE177" s="373"/>
      <c r="HF177" s="373"/>
      <c r="HG177" s="373"/>
      <c r="HH177" s="373"/>
      <c r="HI177" s="373"/>
      <c r="HJ177" s="373"/>
      <c r="HK177" s="373"/>
      <c r="HL177" s="373"/>
      <c r="HM177" s="373"/>
      <c r="HN177" s="373"/>
      <c r="HO177" s="373"/>
      <c r="HP177" s="373"/>
      <c r="HQ177" s="373"/>
      <c r="HR177" s="373"/>
      <c r="HS177" s="373"/>
      <c r="HT177" s="373"/>
      <c r="HU177" s="373"/>
      <c r="HV177" s="373"/>
      <c r="HW177" s="373"/>
      <c r="HX177" s="373"/>
      <c r="HY177" s="373"/>
      <c r="HZ177" s="373"/>
      <c r="IA177" s="373"/>
      <c r="IB177" s="373"/>
      <c r="IC177" s="373"/>
      <c r="ID177" s="373"/>
      <c r="IE177" s="373"/>
      <c r="IF177" s="373"/>
      <c r="IG177" s="373"/>
      <c r="IH177" s="373"/>
      <c r="II177" s="373"/>
      <c r="IJ177" s="373"/>
      <c r="IK177" s="373"/>
      <c r="IL177" s="373"/>
      <c r="IM177" s="373"/>
      <c r="IN177" s="373"/>
      <c r="IO177" s="373"/>
      <c r="IP177" s="373"/>
      <c r="IQ177" s="373"/>
    </row>
    <row r="178" spans="1:251">
      <c r="A178" s="384"/>
      <c r="B178" s="385" t="s">
        <v>591</v>
      </c>
      <c r="C178" s="356">
        <f>D178+E178</f>
        <v>59000</v>
      </c>
      <c r="D178" s="356">
        <v>59000</v>
      </c>
      <c r="E178" s="376">
        <v>0</v>
      </c>
      <c r="F178" s="368"/>
      <c r="G178" s="386" t="s">
        <v>421</v>
      </c>
      <c r="H178" s="386" t="s">
        <v>421</v>
      </c>
      <c r="I178" s="386" t="s">
        <v>421</v>
      </c>
    </row>
    <row r="179" spans="1:251" ht="9.9499999999999993" customHeight="1">
      <c r="A179" s="384"/>
      <c r="B179" s="385"/>
      <c r="C179" s="356"/>
      <c r="D179" s="356"/>
      <c r="E179" s="376"/>
      <c r="F179" s="408"/>
      <c r="G179" s="356"/>
      <c r="H179" s="356"/>
      <c r="I179" s="356"/>
    </row>
    <row r="180" spans="1:251">
      <c r="A180" s="384"/>
      <c r="B180" s="391" t="s">
        <v>592</v>
      </c>
      <c r="C180" s="386" t="s">
        <v>421</v>
      </c>
      <c r="D180" s="386" t="s">
        <v>421</v>
      </c>
      <c r="E180" s="400" t="s">
        <v>421</v>
      </c>
      <c r="F180" s="405"/>
      <c r="G180" s="356">
        <f>H180+I180</f>
        <v>59000</v>
      </c>
      <c r="H180" s="356">
        <v>59000</v>
      </c>
      <c r="I180" s="356">
        <v>0</v>
      </c>
    </row>
    <row r="181" spans="1:251" ht="9.9499999999999993" customHeight="1">
      <c r="A181" s="384"/>
      <c r="B181" s="385"/>
      <c r="C181" s="356"/>
      <c r="D181" s="356"/>
      <c r="E181" s="376"/>
      <c r="F181" s="368"/>
      <c r="G181" s="356"/>
      <c r="H181" s="356"/>
      <c r="I181" s="356"/>
    </row>
    <row r="182" spans="1:251" ht="41.45" customHeight="1">
      <c r="A182" s="1099" t="s">
        <v>616</v>
      </c>
      <c r="B182" s="1099"/>
      <c r="C182" s="378">
        <f>C184</f>
        <v>202950</v>
      </c>
      <c r="D182" s="378">
        <f>D184</f>
        <v>0</v>
      </c>
      <c r="E182" s="379">
        <f>E184</f>
        <v>202950</v>
      </c>
      <c r="F182" s="368"/>
      <c r="G182" s="378">
        <f>G186</f>
        <v>202950</v>
      </c>
      <c r="H182" s="378">
        <f>H186</f>
        <v>0</v>
      </c>
      <c r="I182" s="378">
        <f>I186</f>
        <v>202950</v>
      </c>
      <c r="J182" s="377"/>
      <c r="K182" s="377"/>
      <c r="L182" s="377"/>
      <c r="M182" s="377"/>
      <c r="N182" s="377"/>
      <c r="O182" s="377"/>
      <c r="P182" s="377"/>
      <c r="Q182" s="377"/>
      <c r="R182" s="377"/>
      <c r="S182" s="377"/>
      <c r="T182" s="377"/>
      <c r="U182" s="377"/>
      <c r="V182" s="377"/>
      <c r="W182" s="377"/>
      <c r="X182" s="377"/>
      <c r="Y182" s="377"/>
      <c r="Z182" s="377"/>
      <c r="AA182" s="377"/>
      <c r="AB182" s="377"/>
      <c r="AC182" s="377"/>
      <c r="AD182" s="377"/>
      <c r="AE182" s="377"/>
      <c r="AF182" s="377"/>
      <c r="AG182" s="377"/>
      <c r="AH182" s="377"/>
      <c r="AI182" s="377"/>
      <c r="AJ182" s="377"/>
      <c r="AK182" s="377"/>
      <c r="AL182" s="377"/>
      <c r="AM182" s="377"/>
      <c r="AN182" s="377"/>
      <c r="AO182" s="377"/>
      <c r="AP182" s="377"/>
      <c r="AQ182" s="377"/>
      <c r="AR182" s="377"/>
      <c r="AS182" s="377"/>
      <c r="AT182" s="377"/>
      <c r="AU182" s="377"/>
      <c r="AV182" s="377"/>
      <c r="AW182" s="377"/>
      <c r="AX182" s="377"/>
      <c r="AY182" s="377"/>
      <c r="AZ182" s="377"/>
      <c r="BA182" s="377"/>
      <c r="BB182" s="377"/>
      <c r="BC182" s="377"/>
      <c r="BD182" s="377"/>
      <c r="BE182" s="377"/>
      <c r="BF182" s="377"/>
      <c r="BG182" s="377"/>
      <c r="BH182" s="377"/>
      <c r="BI182" s="377"/>
      <c r="BJ182" s="377"/>
      <c r="BK182" s="377"/>
      <c r="BL182" s="377"/>
      <c r="BM182" s="377"/>
      <c r="BN182" s="377"/>
      <c r="BO182" s="377"/>
      <c r="BP182" s="377"/>
      <c r="BQ182" s="377"/>
      <c r="BR182" s="377"/>
      <c r="BS182" s="377"/>
      <c r="BT182" s="377"/>
      <c r="BU182" s="377"/>
      <c r="BV182" s="377"/>
      <c r="BW182" s="377"/>
      <c r="BX182" s="377"/>
      <c r="BY182" s="377"/>
      <c r="BZ182" s="377"/>
      <c r="CA182" s="377"/>
      <c r="CB182" s="377"/>
      <c r="CC182" s="377"/>
      <c r="CD182" s="377"/>
      <c r="CE182" s="377"/>
      <c r="CF182" s="377"/>
      <c r="CG182" s="377"/>
      <c r="CH182" s="377"/>
      <c r="CI182" s="377"/>
      <c r="CJ182" s="377"/>
      <c r="CK182" s="377"/>
      <c r="CL182" s="377"/>
      <c r="CM182" s="377"/>
      <c r="CN182" s="377"/>
      <c r="CO182" s="377"/>
      <c r="CP182" s="377"/>
      <c r="CQ182" s="377"/>
      <c r="CR182" s="377"/>
      <c r="CS182" s="377"/>
      <c r="CT182" s="377"/>
      <c r="CU182" s="377"/>
      <c r="CV182" s="377"/>
      <c r="CW182" s="377"/>
      <c r="CX182" s="377"/>
      <c r="CY182" s="377"/>
      <c r="CZ182" s="377"/>
      <c r="DA182" s="377"/>
      <c r="DB182" s="377"/>
      <c r="DC182" s="377"/>
      <c r="DD182" s="377"/>
      <c r="DE182" s="377"/>
      <c r="DF182" s="377"/>
      <c r="DG182" s="377"/>
      <c r="DH182" s="377"/>
      <c r="DI182" s="377"/>
      <c r="DJ182" s="377"/>
      <c r="DK182" s="377"/>
      <c r="DL182" s="377"/>
      <c r="DM182" s="377"/>
      <c r="DN182" s="377"/>
      <c r="DO182" s="377"/>
      <c r="DP182" s="377"/>
      <c r="DQ182" s="377"/>
      <c r="DR182" s="377"/>
      <c r="DS182" s="377"/>
      <c r="DT182" s="377"/>
      <c r="DU182" s="377"/>
      <c r="DV182" s="377"/>
      <c r="DW182" s="377"/>
      <c r="DX182" s="377"/>
      <c r="DY182" s="377"/>
      <c r="DZ182" s="377"/>
      <c r="EA182" s="377"/>
      <c r="EB182" s="377"/>
      <c r="EC182" s="377"/>
      <c r="ED182" s="377"/>
      <c r="EE182" s="377"/>
      <c r="EF182" s="377"/>
      <c r="EG182" s="377"/>
      <c r="EH182" s="377"/>
      <c r="EI182" s="377"/>
      <c r="EJ182" s="377"/>
      <c r="EK182" s="377"/>
      <c r="EL182" s="377"/>
      <c r="EM182" s="377"/>
      <c r="EN182" s="377"/>
      <c r="EO182" s="377"/>
      <c r="EP182" s="377"/>
      <c r="EQ182" s="377"/>
      <c r="ER182" s="377"/>
      <c r="ES182" s="377"/>
      <c r="ET182" s="377"/>
      <c r="EU182" s="377"/>
      <c r="EV182" s="377"/>
      <c r="EW182" s="377"/>
      <c r="EX182" s="377"/>
      <c r="EY182" s="377"/>
      <c r="EZ182" s="377"/>
      <c r="FA182" s="377"/>
      <c r="FB182" s="377"/>
      <c r="FC182" s="377"/>
      <c r="FD182" s="377"/>
      <c r="FE182" s="377"/>
      <c r="FF182" s="377"/>
      <c r="FG182" s="377"/>
      <c r="FH182" s="377"/>
      <c r="FI182" s="377"/>
      <c r="FJ182" s="377"/>
      <c r="FK182" s="377"/>
      <c r="FL182" s="377"/>
      <c r="FM182" s="377"/>
      <c r="FN182" s="377"/>
      <c r="FO182" s="377"/>
      <c r="FP182" s="377"/>
      <c r="FQ182" s="377"/>
      <c r="FR182" s="377"/>
      <c r="FS182" s="377"/>
      <c r="FT182" s="377"/>
      <c r="FU182" s="377"/>
      <c r="FV182" s="377"/>
      <c r="FW182" s="377"/>
      <c r="FX182" s="377"/>
      <c r="FY182" s="377"/>
      <c r="FZ182" s="377"/>
      <c r="GA182" s="377"/>
      <c r="GB182" s="377"/>
      <c r="GC182" s="377"/>
      <c r="GD182" s="377"/>
      <c r="GE182" s="377"/>
      <c r="GF182" s="377"/>
      <c r="GG182" s="377"/>
      <c r="GH182" s="377"/>
      <c r="GI182" s="377"/>
      <c r="GJ182" s="377"/>
      <c r="GK182" s="377"/>
      <c r="GL182" s="377"/>
      <c r="GM182" s="377"/>
      <c r="GN182" s="377"/>
      <c r="GO182" s="377"/>
      <c r="GP182" s="377"/>
      <c r="GQ182" s="377"/>
      <c r="GR182" s="377"/>
      <c r="GS182" s="377"/>
      <c r="GT182" s="377"/>
      <c r="GU182" s="377"/>
      <c r="GV182" s="377"/>
      <c r="GW182" s="377"/>
      <c r="GX182" s="377"/>
      <c r="GY182" s="377"/>
      <c r="GZ182" s="377"/>
      <c r="HA182" s="377"/>
      <c r="HB182" s="377"/>
      <c r="HC182" s="377"/>
      <c r="HD182" s="377"/>
      <c r="HE182" s="377"/>
      <c r="HF182" s="377"/>
      <c r="HG182" s="377"/>
      <c r="HH182" s="377"/>
      <c r="HI182" s="377"/>
      <c r="HJ182" s="377"/>
      <c r="HK182" s="377"/>
      <c r="HL182" s="377"/>
      <c r="HM182" s="377"/>
      <c r="HN182" s="377"/>
      <c r="HO182" s="377"/>
      <c r="HP182" s="377"/>
      <c r="HQ182" s="377"/>
      <c r="HR182" s="377"/>
      <c r="HS182" s="377"/>
      <c r="HT182" s="377"/>
      <c r="HU182" s="377"/>
      <c r="HV182" s="377"/>
      <c r="HW182" s="377"/>
      <c r="HX182" s="377"/>
      <c r="HY182" s="377"/>
      <c r="HZ182" s="377"/>
      <c r="IA182" s="377"/>
      <c r="IB182" s="377"/>
      <c r="IC182" s="377"/>
      <c r="ID182" s="377"/>
      <c r="IE182" s="377"/>
      <c r="IF182" s="377"/>
      <c r="IG182" s="377"/>
      <c r="IH182" s="377"/>
      <c r="II182" s="377"/>
      <c r="IJ182" s="377"/>
      <c r="IK182" s="377"/>
      <c r="IL182" s="377"/>
      <c r="IM182" s="377"/>
      <c r="IN182" s="377"/>
      <c r="IO182" s="377"/>
      <c r="IP182" s="377"/>
      <c r="IQ182" s="377"/>
    </row>
    <row r="183" spans="1:251" ht="9.9499999999999993" customHeight="1">
      <c r="A183" s="369"/>
      <c r="B183" s="398"/>
      <c r="C183" s="371"/>
      <c r="D183" s="371"/>
      <c r="E183" s="372"/>
      <c r="F183" s="368"/>
      <c r="G183" s="399"/>
      <c r="H183" s="399"/>
      <c r="I183" s="399"/>
      <c r="J183" s="373"/>
      <c r="K183" s="373"/>
      <c r="L183" s="373"/>
      <c r="M183" s="373"/>
      <c r="N183" s="373"/>
      <c r="O183" s="373"/>
      <c r="P183" s="373"/>
      <c r="Q183" s="373"/>
      <c r="R183" s="373"/>
      <c r="S183" s="373"/>
      <c r="T183" s="373"/>
      <c r="U183" s="373"/>
      <c r="V183" s="373"/>
      <c r="W183" s="373"/>
      <c r="X183" s="373"/>
      <c r="Y183" s="373"/>
      <c r="Z183" s="373"/>
      <c r="AA183" s="373"/>
      <c r="AB183" s="373"/>
      <c r="AC183" s="373"/>
      <c r="AD183" s="373"/>
      <c r="AE183" s="373"/>
      <c r="AF183" s="373"/>
      <c r="AG183" s="373"/>
      <c r="AH183" s="373"/>
      <c r="AI183" s="373"/>
      <c r="AJ183" s="373"/>
      <c r="AK183" s="373"/>
      <c r="AL183" s="373"/>
      <c r="AM183" s="373"/>
      <c r="AN183" s="373"/>
      <c r="AO183" s="373"/>
      <c r="AP183" s="373"/>
      <c r="AQ183" s="373"/>
      <c r="AR183" s="373"/>
      <c r="AS183" s="373"/>
      <c r="AT183" s="373"/>
      <c r="AU183" s="373"/>
      <c r="AV183" s="373"/>
      <c r="AW183" s="373"/>
      <c r="AX183" s="373"/>
      <c r="AY183" s="373"/>
      <c r="AZ183" s="373"/>
      <c r="BA183" s="373"/>
      <c r="BB183" s="373"/>
      <c r="BC183" s="373"/>
      <c r="BD183" s="373"/>
      <c r="BE183" s="373"/>
      <c r="BF183" s="373"/>
      <c r="BG183" s="373"/>
      <c r="BH183" s="373"/>
      <c r="BI183" s="373"/>
      <c r="BJ183" s="373"/>
      <c r="BK183" s="373"/>
      <c r="BL183" s="373"/>
      <c r="BM183" s="373"/>
      <c r="BN183" s="373"/>
      <c r="BO183" s="373"/>
      <c r="BP183" s="373"/>
      <c r="BQ183" s="373"/>
      <c r="BR183" s="373"/>
      <c r="BS183" s="373"/>
      <c r="BT183" s="373"/>
      <c r="BU183" s="373"/>
      <c r="BV183" s="373"/>
      <c r="BW183" s="373"/>
      <c r="BX183" s="373"/>
      <c r="BY183" s="373"/>
      <c r="BZ183" s="373"/>
      <c r="CA183" s="373"/>
      <c r="CB183" s="373"/>
      <c r="CC183" s="373"/>
      <c r="CD183" s="373"/>
      <c r="CE183" s="373"/>
      <c r="CF183" s="373"/>
      <c r="CG183" s="373"/>
      <c r="CH183" s="373"/>
      <c r="CI183" s="373"/>
      <c r="CJ183" s="373"/>
      <c r="CK183" s="373"/>
      <c r="CL183" s="373"/>
      <c r="CM183" s="373"/>
      <c r="CN183" s="373"/>
      <c r="CO183" s="373"/>
      <c r="CP183" s="373"/>
      <c r="CQ183" s="373"/>
      <c r="CR183" s="373"/>
      <c r="CS183" s="373"/>
      <c r="CT183" s="373"/>
      <c r="CU183" s="373"/>
      <c r="CV183" s="373"/>
      <c r="CW183" s="373"/>
      <c r="CX183" s="373"/>
      <c r="CY183" s="373"/>
      <c r="CZ183" s="373"/>
      <c r="DA183" s="373"/>
      <c r="DB183" s="373"/>
      <c r="DC183" s="373"/>
      <c r="DD183" s="373"/>
      <c r="DE183" s="373"/>
      <c r="DF183" s="373"/>
      <c r="DG183" s="373"/>
      <c r="DH183" s="373"/>
      <c r="DI183" s="373"/>
      <c r="DJ183" s="373"/>
      <c r="DK183" s="373"/>
      <c r="DL183" s="373"/>
      <c r="DM183" s="373"/>
      <c r="DN183" s="373"/>
      <c r="DO183" s="373"/>
      <c r="DP183" s="373"/>
      <c r="DQ183" s="373"/>
      <c r="DR183" s="373"/>
      <c r="DS183" s="373"/>
      <c r="DT183" s="373"/>
      <c r="DU183" s="373"/>
      <c r="DV183" s="373"/>
      <c r="DW183" s="373"/>
      <c r="DX183" s="373"/>
      <c r="DY183" s="373"/>
      <c r="DZ183" s="373"/>
      <c r="EA183" s="373"/>
      <c r="EB183" s="373"/>
      <c r="EC183" s="373"/>
      <c r="ED183" s="373"/>
      <c r="EE183" s="373"/>
      <c r="EF183" s="373"/>
      <c r="EG183" s="373"/>
      <c r="EH183" s="373"/>
      <c r="EI183" s="373"/>
      <c r="EJ183" s="373"/>
      <c r="EK183" s="373"/>
      <c r="EL183" s="373"/>
      <c r="EM183" s="373"/>
      <c r="EN183" s="373"/>
      <c r="EO183" s="373"/>
      <c r="EP183" s="373"/>
      <c r="EQ183" s="373"/>
      <c r="ER183" s="373"/>
      <c r="ES183" s="373"/>
      <c r="ET183" s="373"/>
      <c r="EU183" s="373"/>
      <c r="EV183" s="373"/>
      <c r="EW183" s="373"/>
      <c r="EX183" s="373"/>
      <c r="EY183" s="373"/>
      <c r="EZ183" s="373"/>
      <c r="FA183" s="373"/>
      <c r="FB183" s="373"/>
      <c r="FC183" s="373"/>
      <c r="FD183" s="373"/>
      <c r="FE183" s="373"/>
      <c r="FF183" s="373"/>
      <c r="FG183" s="373"/>
      <c r="FH183" s="373"/>
      <c r="FI183" s="373"/>
      <c r="FJ183" s="373"/>
      <c r="FK183" s="373"/>
      <c r="FL183" s="373"/>
      <c r="FM183" s="373"/>
      <c r="FN183" s="373"/>
      <c r="FO183" s="373"/>
      <c r="FP183" s="373"/>
      <c r="FQ183" s="373"/>
      <c r="FR183" s="373"/>
      <c r="FS183" s="373"/>
      <c r="FT183" s="373"/>
      <c r="FU183" s="373"/>
      <c r="FV183" s="373"/>
      <c r="FW183" s="373"/>
      <c r="FX183" s="373"/>
      <c r="FY183" s="373"/>
      <c r="FZ183" s="373"/>
      <c r="GA183" s="373"/>
      <c r="GB183" s="373"/>
      <c r="GC183" s="373"/>
      <c r="GD183" s="373"/>
      <c r="GE183" s="373"/>
      <c r="GF183" s="373"/>
      <c r="GG183" s="373"/>
      <c r="GH183" s="373"/>
      <c r="GI183" s="373"/>
      <c r="GJ183" s="373"/>
      <c r="GK183" s="373"/>
      <c r="GL183" s="373"/>
      <c r="GM183" s="373"/>
      <c r="GN183" s="373"/>
      <c r="GO183" s="373"/>
      <c r="GP183" s="373"/>
      <c r="GQ183" s="373"/>
      <c r="GR183" s="373"/>
      <c r="GS183" s="373"/>
      <c r="GT183" s="373"/>
      <c r="GU183" s="373"/>
      <c r="GV183" s="373"/>
      <c r="GW183" s="373"/>
      <c r="GX183" s="373"/>
      <c r="GY183" s="373"/>
      <c r="GZ183" s="373"/>
      <c r="HA183" s="373"/>
      <c r="HB183" s="373"/>
      <c r="HC183" s="373"/>
      <c r="HD183" s="373"/>
      <c r="HE183" s="373"/>
      <c r="HF183" s="373"/>
      <c r="HG183" s="373"/>
      <c r="HH183" s="373"/>
      <c r="HI183" s="373"/>
      <c r="HJ183" s="373"/>
      <c r="HK183" s="373"/>
      <c r="HL183" s="373"/>
      <c r="HM183" s="373"/>
      <c r="HN183" s="373"/>
      <c r="HO183" s="373"/>
      <c r="HP183" s="373"/>
      <c r="HQ183" s="373"/>
      <c r="HR183" s="373"/>
      <c r="HS183" s="373"/>
      <c r="HT183" s="373"/>
      <c r="HU183" s="373"/>
      <c r="HV183" s="373"/>
      <c r="HW183" s="373"/>
      <c r="HX183" s="373"/>
      <c r="HY183" s="373"/>
      <c r="HZ183" s="373"/>
      <c r="IA183" s="373"/>
      <c r="IB183" s="373"/>
      <c r="IC183" s="373"/>
      <c r="ID183" s="373"/>
      <c r="IE183" s="373"/>
      <c r="IF183" s="373"/>
      <c r="IG183" s="373"/>
      <c r="IH183" s="373"/>
      <c r="II183" s="373"/>
      <c r="IJ183" s="373"/>
      <c r="IK183" s="373"/>
      <c r="IL183" s="373"/>
      <c r="IM183" s="373"/>
      <c r="IN183" s="373"/>
      <c r="IO183" s="373"/>
      <c r="IP183" s="373"/>
      <c r="IQ183" s="373"/>
    </row>
    <row r="184" spans="1:251">
      <c r="A184" s="384"/>
      <c r="B184" s="385" t="s">
        <v>591</v>
      </c>
      <c r="C184" s="356">
        <f>D184+E184</f>
        <v>202950</v>
      </c>
      <c r="D184" s="356">
        <v>0</v>
      </c>
      <c r="E184" s="376">
        <v>202950</v>
      </c>
      <c r="F184" s="368"/>
      <c r="G184" s="386" t="s">
        <v>421</v>
      </c>
      <c r="H184" s="386" t="s">
        <v>421</v>
      </c>
      <c r="I184" s="386" t="s">
        <v>421</v>
      </c>
    </row>
    <row r="185" spans="1:251" ht="9.9499999999999993" customHeight="1">
      <c r="A185" s="384"/>
      <c r="B185" s="385"/>
      <c r="C185" s="356"/>
      <c r="D185" s="356"/>
      <c r="E185" s="376"/>
      <c r="F185" s="368"/>
      <c r="G185" s="356"/>
      <c r="H185" s="356"/>
      <c r="I185" s="356"/>
    </row>
    <row r="186" spans="1:251">
      <c r="A186" s="384"/>
      <c r="B186" s="391" t="s">
        <v>592</v>
      </c>
      <c r="C186" s="386" t="s">
        <v>421</v>
      </c>
      <c r="D186" s="386" t="s">
        <v>421</v>
      </c>
      <c r="E186" s="400" t="s">
        <v>421</v>
      </c>
      <c r="F186" s="368"/>
      <c r="G186" s="356">
        <f>H186+I186</f>
        <v>202950</v>
      </c>
      <c r="H186" s="356">
        <v>0</v>
      </c>
      <c r="I186" s="356">
        <v>202950</v>
      </c>
    </row>
    <row r="187" spans="1:251" ht="9.9499999999999993" customHeight="1">
      <c r="A187" s="384"/>
      <c r="B187" s="385"/>
      <c r="C187" s="356"/>
      <c r="D187" s="356"/>
      <c r="E187" s="376"/>
      <c r="F187" s="368"/>
      <c r="G187" s="356"/>
      <c r="H187" s="356"/>
      <c r="I187" s="356"/>
    </row>
    <row r="188" spans="1:251">
      <c r="A188" s="369" t="s">
        <v>617</v>
      </c>
      <c r="B188" s="370" t="s">
        <v>46</v>
      </c>
      <c r="C188" s="371">
        <f>C190</f>
        <v>790000</v>
      </c>
      <c r="D188" s="371">
        <f>D190</f>
        <v>790000</v>
      </c>
      <c r="E188" s="372">
        <f>E190</f>
        <v>0</v>
      </c>
      <c r="F188" s="368"/>
      <c r="G188" s="371">
        <f>G190</f>
        <v>790000</v>
      </c>
      <c r="H188" s="371">
        <f>H190</f>
        <v>790000</v>
      </c>
      <c r="I188" s="371">
        <f>I190</f>
        <v>0</v>
      </c>
      <c r="J188" s="373"/>
      <c r="K188" s="373"/>
      <c r="L188" s="373"/>
      <c r="M188" s="373"/>
      <c r="N188" s="373"/>
      <c r="O188" s="373"/>
      <c r="P188" s="373"/>
      <c r="Q188" s="373"/>
      <c r="R188" s="373"/>
      <c r="S188" s="373"/>
      <c r="T188" s="373"/>
      <c r="U188" s="373"/>
      <c r="V188" s="373"/>
      <c r="W188" s="373"/>
      <c r="X188" s="373"/>
      <c r="Y188" s="373"/>
      <c r="Z188" s="373"/>
      <c r="AA188" s="373"/>
      <c r="AB188" s="373"/>
      <c r="AC188" s="373"/>
      <c r="AD188" s="373"/>
      <c r="AE188" s="373"/>
      <c r="AF188" s="373"/>
      <c r="AG188" s="373"/>
      <c r="AH188" s="373"/>
      <c r="AI188" s="373"/>
      <c r="AJ188" s="373"/>
      <c r="AK188" s="373"/>
      <c r="AL188" s="373"/>
      <c r="AM188" s="373"/>
      <c r="AN188" s="373"/>
      <c r="AO188" s="373"/>
      <c r="AP188" s="373"/>
      <c r="AQ188" s="373"/>
      <c r="AR188" s="373"/>
      <c r="AS188" s="373"/>
      <c r="AT188" s="373"/>
      <c r="AU188" s="373"/>
      <c r="AV188" s="373"/>
      <c r="AW188" s="373"/>
      <c r="AX188" s="373"/>
      <c r="AY188" s="373"/>
      <c r="AZ188" s="373"/>
      <c r="BA188" s="373"/>
      <c r="BB188" s="373"/>
      <c r="BC188" s="373"/>
      <c r="BD188" s="373"/>
      <c r="BE188" s="373"/>
      <c r="BF188" s="373"/>
      <c r="BG188" s="373"/>
      <c r="BH188" s="373"/>
      <c r="BI188" s="373"/>
      <c r="BJ188" s="373"/>
      <c r="BK188" s="373"/>
      <c r="BL188" s="373"/>
      <c r="BM188" s="373"/>
      <c r="BN188" s="373"/>
      <c r="BO188" s="373"/>
      <c r="BP188" s="373"/>
      <c r="BQ188" s="373"/>
      <c r="BR188" s="373"/>
      <c r="BS188" s="373"/>
      <c r="BT188" s="373"/>
      <c r="BU188" s="373"/>
      <c r="BV188" s="373"/>
      <c r="BW188" s="373"/>
      <c r="BX188" s="373"/>
      <c r="BY188" s="373"/>
      <c r="BZ188" s="373"/>
      <c r="CA188" s="373"/>
      <c r="CB188" s="373"/>
      <c r="CC188" s="373"/>
      <c r="CD188" s="373"/>
      <c r="CE188" s="373"/>
      <c r="CF188" s="373"/>
      <c r="CG188" s="373"/>
      <c r="CH188" s="373"/>
      <c r="CI188" s="373"/>
      <c r="CJ188" s="373"/>
      <c r="CK188" s="373"/>
      <c r="CL188" s="373"/>
      <c r="CM188" s="373"/>
      <c r="CN188" s="373"/>
      <c r="CO188" s="373"/>
      <c r="CP188" s="373"/>
      <c r="CQ188" s="373"/>
      <c r="CR188" s="373"/>
      <c r="CS188" s="373"/>
      <c r="CT188" s="373"/>
      <c r="CU188" s="373"/>
      <c r="CV188" s="373"/>
      <c r="CW188" s="373"/>
      <c r="CX188" s="373"/>
      <c r="CY188" s="373"/>
      <c r="CZ188" s="373"/>
      <c r="DA188" s="373"/>
      <c r="DB188" s="373"/>
      <c r="DC188" s="373"/>
      <c r="DD188" s="373"/>
      <c r="DE188" s="373"/>
      <c r="DF188" s="373"/>
      <c r="DG188" s="373"/>
      <c r="DH188" s="373"/>
      <c r="DI188" s="373"/>
      <c r="DJ188" s="373"/>
      <c r="DK188" s="373"/>
      <c r="DL188" s="373"/>
      <c r="DM188" s="373"/>
      <c r="DN188" s="373"/>
      <c r="DO188" s="373"/>
      <c r="DP188" s="373"/>
      <c r="DQ188" s="373"/>
      <c r="DR188" s="373"/>
      <c r="DS188" s="373"/>
      <c r="DT188" s="373"/>
      <c r="DU188" s="373"/>
      <c r="DV188" s="373"/>
      <c r="DW188" s="373"/>
      <c r="DX188" s="373"/>
      <c r="DY188" s="373"/>
      <c r="DZ188" s="373"/>
      <c r="EA188" s="373"/>
      <c r="EB188" s="373"/>
      <c r="EC188" s="373"/>
      <c r="ED188" s="373"/>
      <c r="EE188" s="373"/>
      <c r="EF188" s="373"/>
      <c r="EG188" s="373"/>
      <c r="EH188" s="373"/>
      <c r="EI188" s="373"/>
      <c r="EJ188" s="373"/>
      <c r="EK188" s="373"/>
      <c r="EL188" s="373"/>
      <c r="EM188" s="373"/>
      <c r="EN188" s="373"/>
      <c r="EO188" s="373"/>
      <c r="EP188" s="373"/>
      <c r="EQ188" s="373"/>
      <c r="ER188" s="373"/>
      <c r="ES188" s="373"/>
      <c r="ET188" s="373"/>
      <c r="EU188" s="373"/>
      <c r="EV188" s="373"/>
      <c r="EW188" s="373"/>
      <c r="EX188" s="373"/>
      <c r="EY188" s="373"/>
      <c r="EZ188" s="373"/>
      <c r="FA188" s="373"/>
      <c r="FB188" s="373"/>
      <c r="FC188" s="373"/>
      <c r="FD188" s="373"/>
      <c r="FE188" s="373"/>
      <c r="FF188" s="373"/>
      <c r="FG188" s="373"/>
      <c r="FH188" s="373"/>
      <c r="FI188" s="373"/>
      <c r="FJ188" s="373"/>
      <c r="FK188" s="373"/>
      <c r="FL188" s="373"/>
      <c r="FM188" s="373"/>
      <c r="FN188" s="373"/>
      <c r="FO188" s="373"/>
      <c r="FP188" s="373"/>
      <c r="FQ188" s="373"/>
      <c r="FR188" s="373"/>
      <c r="FS188" s="373"/>
      <c r="FT188" s="373"/>
      <c r="FU188" s="373"/>
      <c r="FV188" s="373"/>
      <c r="FW188" s="373"/>
      <c r="FX188" s="373"/>
      <c r="FY188" s="373"/>
      <c r="FZ188" s="373"/>
      <c r="GA188" s="373"/>
      <c r="GB188" s="373"/>
      <c r="GC188" s="373"/>
      <c r="GD188" s="373"/>
      <c r="GE188" s="373"/>
      <c r="GF188" s="373"/>
      <c r="GG188" s="373"/>
      <c r="GH188" s="373"/>
      <c r="GI188" s="373"/>
      <c r="GJ188" s="373"/>
      <c r="GK188" s="373"/>
      <c r="GL188" s="373"/>
      <c r="GM188" s="373"/>
      <c r="GN188" s="373"/>
      <c r="GO188" s="373"/>
      <c r="GP188" s="373"/>
      <c r="GQ188" s="373"/>
      <c r="GR188" s="373"/>
      <c r="GS188" s="373"/>
      <c r="GT188" s="373"/>
      <c r="GU188" s="373"/>
      <c r="GV188" s="373"/>
      <c r="GW188" s="373"/>
      <c r="GX188" s="373"/>
      <c r="GY188" s="373"/>
      <c r="GZ188" s="373"/>
      <c r="HA188" s="373"/>
      <c r="HB188" s="373"/>
      <c r="HC188" s="373"/>
      <c r="HD188" s="373"/>
      <c r="HE188" s="373"/>
      <c r="HF188" s="373"/>
      <c r="HG188" s="373"/>
      <c r="HH188" s="373"/>
      <c r="HI188" s="373"/>
      <c r="HJ188" s="373"/>
      <c r="HK188" s="373"/>
      <c r="HL188" s="373"/>
      <c r="HM188" s="373"/>
      <c r="HN188" s="373"/>
      <c r="HO188" s="373"/>
      <c r="HP188" s="373"/>
      <c r="HQ188" s="373"/>
      <c r="HR188" s="373"/>
      <c r="HS188" s="373"/>
      <c r="HT188" s="373"/>
      <c r="HU188" s="373"/>
      <c r="HV188" s="373"/>
      <c r="HW188" s="373"/>
      <c r="HX188" s="373"/>
      <c r="HY188" s="373"/>
      <c r="HZ188" s="373"/>
      <c r="IA188" s="373"/>
      <c r="IB188" s="373"/>
      <c r="IC188" s="373"/>
      <c r="ID188" s="373"/>
      <c r="IE188" s="373"/>
      <c r="IF188" s="373"/>
      <c r="IG188" s="373"/>
      <c r="IH188" s="373"/>
      <c r="II188" s="373"/>
      <c r="IJ188" s="373"/>
      <c r="IK188" s="373"/>
      <c r="IL188" s="373"/>
      <c r="IM188" s="373"/>
      <c r="IN188" s="373"/>
      <c r="IO188" s="373"/>
      <c r="IP188" s="373"/>
      <c r="IQ188" s="373"/>
    </row>
    <row r="189" spans="1:251" ht="9.9499999999999993" customHeight="1">
      <c r="A189" s="374"/>
      <c r="B189" s="375"/>
      <c r="C189" s="396"/>
      <c r="D189" s="396"/>
      <c r="E189" s="397"/>
      <c r="F189" s="368"/>
      <c r="G189" s="356"/>
      <c r="H189" s="356"/>
      <c r="I189" s="356"/>
    </row>
    <row r="190" spans="1:251">
      <c r="A190" s="1099" t="s">
        <v>618</v>
      </c>
      <c r="B190" s="1099"/>
      <c r="C190" s="378">
        <f>C192</f>
        <v>790000</v>
      </c>
      <c r="D190" s="378">
        <f>D192</f>
        <v>790000</v>
      </c>
      <c r="E190" s="379">
        <f>E192</f>
        <v>0</v>
      </c>
      <c r="F190" s="368"/>
      <c r="G190" s="378">
        <f>G194</f>
        <v>790000</v>
      </c>
      <c r="H190" s="378">
        <f>H194</f>
        <v>790000</v>
      </c>
      <c r="I190" s="378">
        <f>I194</f>
        <v>0</v>
      </c>
      <c r="J190" s="377"/>
      <c r="K190" s="377"/>
      <c r="L190" s="377"/>
      <c r="M190" s="377"/>
      <c r="N190" s="377"/>
      <c r="O190" s="377"/>
      <c r="P190" s="377"/>
      <c r="Q190" s="377"/>
      <c r="R190" s="377"/>
      <c r="S190" s="377"/>
      <c r="T190" s="377"/>
      <c r="U190" s="377"/>
      <c r="V190" s="377"/>
      <c r="W190" s="377"/>
      <c r="X190" s="377"/>
      <c r="Y190" s="377"/>
      <c r="Z190" s="377"/>
      <c r="AA190" s="377"/>
      <c r="AB190" s="377"/>
      <c r="AC190" s="377"/>
      <c r="AD190" s="377"/>
      <c r="AE190" s="377"/>
      <c r="AF190" s="377"/>
      <c r="AG190" s="377"/>
      <c r="AH190" s="377"/>
      <c r="AI190" s="377"/>
      <c r="AJ190" s="377"/>
      <c r="AK190" s="377"/>
      <c r="AL190" s="377"/>
      <c r="AM190" s="377"/>
      <c r="AN190" s="377"/>
      <c r="AO190" s="377"/>
      <c r="AP190" s="377"/>
      <c r="AQ190" s="377"/>
      <c r="AR190" s="377"/>
      <c r="AS190" s="377"/>
      <c r="AT190" s="377"/>
      <c r="AU190" s="377"/>
      <c r="AV190" s="377"/>
      <c r="AW190" s="377"/>
      <c r="AX190" s="377"/>
      <c r="AY190" s="377"/>
      <c r="AZ190" s="377"/>
      <c r="BA190" s="377"/>
      <c r="BB190" s="377"/>
      <c r="BC190" s="377"/>
      <c r="BD190" s="377"/>
      <c r="BE190" s="377"/>
      <c r="BF190" s="377"/>
      <c r="BG190" s="377"/>
      <c r="BH190" s="377"/>
      <c r="BI190" s="377"/>
      <c r="BJ190" s="377"/>
      <c r="BK190" s="377"/>
      <c r="BL190" s="377"/>
      <c r="BM190" s="377"/>
      <c r="BN190" s="377"/>
      <c r="BO190" s="377"/>
      <c r="BP190" s="377"/>
      <c r="BQ190" s="377"/>
      <c r="BR190" s="377"/>
      <c r="BS190" s="377"/>
      <c r="BT190" s="377"/>
      <c r="BU190" s="377"/>
      <c r="BV190" s="377"/>
      <c r="BW190" s="377"/>
      <c r="BX190" s="377"/>
      <c r="BY190" s="377"/>
      <c r="BZ190" s="377"/>
      <c r="CA190" s="377"/>
      <c r="CB190" s="377"/>
      <c r="CC190" s="377"/>
      <c r="CD190" s="377"/>
      <c r="CE190" s="377"/>
      <c r="CF190" s="377"/>
      <c r="CG190" s="377"/>
      <c r="CH190" s="377"/>
      <c r="CI190" s="377"/>
      <c r="CJ190" s="377"/>
      <c r="CK190" s="377"/>
      <c r="CL190" s="377"/>
      <c r="CM190" s="377"/>
      <c r="CN190" s="377"/>
      <c r="CO190" s="377"/>
      <c r="CP190" s="377"/>
      <c r="CQ190" s="377"/>
      <c r="CR190" s="377"/>
      <c r="CS190" s="377"/>
      <c r="CT190" s="377"/>
      <c r="CU190" s="377"/>
      <c r="CV190" s="377"/>
      <c r="CW190" s="377"/>
      <c r="CX190" s="377"/>
      <c r="CY190" s="377"/>
      <c r="CZ190" s="377"/>
      <c r="DA190" s="377"/>
      <c r="DB190" s="377"/>
      <c r="DC190" s="377"/>
      <c r="DD190" s="377"/>
      <c r="DE190" s="377"/>
      <c r="DF190" s="377"/>
      <c r="DG190" s="377"/>
      <c r="DH190" s="377"/>
      <c r="DI190" s="377"/>
      <c r="DJ190" s="377"/>
      <c r="DK190" s="377"/>
      <c r="DL190" s="377"/>
      <c r="DM190" s="377"/>
      <c r="DN190" s="377"/>
      <c r="DO190" s="377"/>
      <c r="DP190" s="377"/>
      <c r="DQ190" s="377"/>
      <c r="DR190" s="377"/>
      <c r="DS190" s="377"/>
      <c r="DT190" s="377"/>
      <c r="DU190" s="377"/>
      <c r="DV190" s="377"/>
      <c r="DW190" s="377"/>
      <c r="DX190" s="377"/>
      <c r="DY190" s="377"/>
      <c r="DZ190" s="377"/>
      <c r="EA190" s="377"/>
      <c r="EB190" s="377"/>
      <c r="EC190" s="377"/>
      <c r="ED190" s="377"/>
      <c r="EE190" s="377"/>
      <c r="EF190" s="377"/>
      <c r="EG190" s="377"/>
      <c r="EH190" s="377"/>
      <c r="EI190" s="377"/>
      <c r="EJ190" s="377"/>
      <c r="EK190" s="377"/>
      <c r="EL190" s="377"/>
      <c r="EM190" s="377"/>
      <c r="EN190" s="377"/>
      <c r="EO190" s="377"/>
      <c r="EP190" s="377"/>
      <c r="EQ190" s="377"/>
      <c r="ER190" s="377"/>
      <c r="ES190" s="377"/>
      <c r="ET190" s="377"/>
      <c r="EU190" s="377"/>
      <c r="EV190" s="377"/>
      <c r="EW190" s="377"/>
      <c r="EX190" s="377"/>
      <c r="EY190" s="377"/>
      <c r="EZ190" s="377"/>
      <c r="FA190" s="377"/>
      <c r="FB190" s="377"/>
      <c r="FC190" s="377"/>
      <c r="FD190" s="377"/>
      <c r="FE190" s="377"/>
      <c r="FF190" s="377"/>
      <c r="FG190" s="377"/>
      <c r="FH190" s="377"/>
      <c r="FI190" s="377"/>
      <c r="FJ190" s="377"/>
      <c r="FK190" s="377"/>
      <c r="FL190" s="377"/>
      <c r="FM190" s="377"/>
      <c r="FN190" s="377"/>
      <c r="FO190" s="377"/>
      <c r="FP190" s="377"/>
      <c r="FQ190" s="377"/>
      <c r="FR190" s="377"/>
      <c r="FS190" s="377"/>
      <c r="FT190" s="377"/>
      <c r="FU190" s="377"/>
      <c r="FV190" s="377"/>
      <c r="FW190" s="377"/>
      <c r="FX190" s="377"/>
      <c r="FY190" s="377"/>
      <c r="FZ190" s="377"/>
      <c r="GA190" s="377"/>
      <c r="GB190" s="377"/>
      <c r="GC190" s="377"/>
      <c r="GD190" s="377"/>
      <c r="GE190" s="377"/>
      <c r="GF190" s="377"/>
      <c r="GG190" s="377"/>
      <c r="GH190" s="377"/>
      <c r="GI190" s="377"/>
      <c r="GJ190" s="377"/>
      <c r="GK190" s="377"/>
      <c r="GL190" s="377"/>
      <c r="GM190" s="377"/>
      <c r="GN190" s="377"/>
      <c r="GO190" s="377"/>
      <c r="GP190" s="377"/>
      <c r="GQ190" s="377"/>
      <c r="GR190" s="377"/>
      <c r="GS190" s="377"/>
      <c r="GT190" s="377"/>
      <c r="GU190" s="377"/>
      <c r="GV190" s="377"/>
      <c r="GW190" s="377"/>
      <c r="GX190" s="377"/>
      <c r="GY190" s="377"/>
      <c r="GZ190" s="377"/>
      <c r="HA190" s="377"/>
      <c r="HB190" s="377"/>
      <c r="HC190" s="377"/>
      <c r="HD190" s="377"/>
      <c r="HE190" s="377"/>
      <c r="HF190" s="377"/>
      <c r="HG190" s="377"/>
      <c r="HH190" s="377"/>
      <c r="HI190" s="377"/>
      <c r="HJ190" s="377"/>
      <c r="HK190" s="377"/>
      <c r="HL190" s="377"/>
      <c r="HM190" s="377"/>
      <c r="HN190" s="377"/>
      <c r="HO190" s="377"/>
      <c r="HP190" s="377"/>
      <c r="HQ190" s="377"/>
      <c r="HR190" s="377"/>
      <c r="HS190" s="377"/>
      <c r="HT190" s="377"/>
      <c r="HU190" s="377"/>
      <c r="HV190" s="377"/>
      <c r="HW190" s="377"/>
      <c r="HX190" s="377"/>
      <c r="HY190" s="377"/>
      <c r="HZ190" s="377"/>
      <c r="IA190" s="377"/>
      <c r="IB190" s="377"/>
      <c r="IC190" s="377"/>
      <c r="ID190" s="377"/>
      <c r="IE190" s="377"/>
      <c r="IF190" s="377"/>
      <c r="IG190" s="377"/>
      <c r="IH190" s="377"/>
      <c r="II190" s="377"/>
      <c r="IJ190" s="377"/>
      <c r="IK190" s="377"/>
      <c r="IL190" s="377"/>
      <c r="IM190" s="377"/>
      <c r="IN190" s="377"/>
      <c r="IO190" s="377"/>
      <c r="IP190" s="377"/>
      <c r="IQ190" s="377"/>
    </row>
    <row r="191" spans="1:251" ht="9.9499999999999993" customHeight="1">
      <c r="A191" s="369"/>
      <c r="B191" s="398"/>
      <c r="C191" s="371"/>
      <c r="D191" s="371"/>
      <c r="E191" s="372"/>
      <c r="F191" s="368"/>
      <c r="G191" s="399"/>
      <c r="H191" s="399"/>
      <c r="I191" s="399"/>
      <c r="J191" s="373"/>
      <c r="K191" s="373"/>
      <c r="L191" s="373"/>
      <c r="M191" s="373"/>
      <c r="N191" s="373"/>
      <c r="O191" s="373"/>
      <c r="P191" s="373"/>
      <c r="Q191" s="373"/>
      <c r="R191" s="373"/>
      <c r="S191" s="373"/>
      <c r="T191" s="373"/>
      <c r="U191" s="373"/>
      <c r="V191" s="373"/>
      <c r="W191" s="373"/>
      <c r="X191" s="373"/>
      <c r="Y191" s="373"/>
      <c r="Z191" s="373"/>
      <c r="AA191" s="373"/>
      <c r="AB191" s="373"/>
      <c r="AC191" s="373"/>
      <c r="AD191" s="373"/>
      <c r="AE191" s="373"/>
      <c r="AF191" s="373"/>
      <c r="AG191" s="373"/>
      <c r="AH191" s="373"/>
      <c r="AI191" s="373"/>
      <c r="AJ191" s="373"/>
      <c r="AK191" s="373"/>
      <c r="AL191" s="373"/>
      <c r="AM191" s="373"/>
      <c r="AN191" s="373"/>
      <c r="AO191" s="373"/>
      <c r="AP191" s="373"/>
      <c r="AQ191" s="373"/>
      <c r="AR191" s="373"/>
      <c r="AS191" s="373"/>
      <c r="AT191" s="373"/>
      <c r="AU191" s="373"/>
      <c r="AV191" s="373"/>
      <c r="AW191" s="373"/>
      <c r="AX191" s="373"/>
      <c r="AY191" s="373"/>
      <c r="AZ191" s="373"/>
      <c r="BA191" s="373"/>
      <c r="BB191" s="373"/>
      <c r="BC191" s="373"/>
      <c r="BD191" s="373"/>
      <c r="BE191" s="373"/>
      <c r="BF191" s="373"/>
      <c r="BG191" s="373"/>
      <c r="BH191" s="373"/>
      <c r="BI191" s="373"/>
      <c r="BJ191" s="373"/>
      <c r="BK191" s="373"/>
      <c r="BL191" s="373"/>
      <c r="BM191" s="373"/>
      <c r="BN191" s="373"/>
      <c r="BO191" s="373"/>
      <c r="BP191" s="373"/>
      <c r="BQ191" s="373"/>
      <c r="BR191" s="373"/>
      <c r="BS191" s="373"/>
      <c r="BT191" s="373"/>
      <c r="BU191" s="373"/>
      <c r="BV191" s="373"/>
      <c r="BW191" s="373"/>
      <c r="BX191" s="373"/>
      <c r="BY191" s="373"/>
      <c r="BZ191" s="373"/>
      <c r="CA191" s="373"/>
      <c r="CB191" s="373"/>
      <c r="CC191" s="373"/>
      <c r="CD191" s="373"/>
      <c r="CE191" s="373"/>
      <c r="CF191" s="373"/>
      <c r="CG191" s="373"/>
      <c r="CH191" s="373"/>
      <c r="CI191" s="373"/>
      <c r="CJ191" s="373"/>
      <c r="CK191" s="373"/>
      <c r="CL191" s="373"/>
      <c r="CM191" s="373"/>
      <c r="CN191" s="373"/>
      <c r="CO191" s="373"/>
      <c r="CP191" s="373"/>
      <c r="CQ191" s="373"/>
      <c r="CR191" s="373"/>
      <c r="CS191" s="373"/>
      <c r="CT191" s="373"/>
      <c r="CU191" s="373"/>
      <c r="CV191" s="373"/>
      <c r="CW191" s="373"/>
      <c r="CX191" s="373"/>
      <c r="CY191" s="373"/>
      <c r="CZ191" s="373"/>
      <c r="DA191" s="373"/>
      <c r="DB191" s="373"/>
      <c r="DC191" s="373"/>
      <c r="DD191" s="373"/>
      <c r="DE191" s="373"/>
      <c r="DF191" s="373"/>
      <c r="DG191" s="373"/>
      <c r="DH191" s="373"/>
      <c r="DI191" s="373"/>
      <c r="DJ191" s="373"/>
      <c r="DK191" s="373"/>
      <c r="DL191" s="373"/>
      <c r="DM191" s="373"/>
      <c r="DN191" s="373"/>
      <c r="DO191" s="373"/>
      <c r="DP191" s="373"/>
      <c r="DQ191" s="373"/>
      <c r="DR191" s="373"/>
      <c r="DS191" s="373"/>
      <c r="DT191" s="373"/>
      <c r="DU191" s="373"/>
      <c r="DV191" s="373"/>
      <c r="DW191" s="373"/>
      <c r="DX191" s="373"/>
      <c r="DY191" s="373"/>
      <c r="DZ191" s="373"/>
      <c r="EA191" s="373"/>
      <c r="EB191" s="373"/>
      <c r="EC191" s="373"/>
      <c r="ED191" s="373"/>
      <c r="EE191" s="373"/>
      <c r="EF191" s="373"/>
      <c r="EG191" s="373"/>
      <c r="EH191" s="373"/>
      <c r="EI191" s="373"/>
      <c r="EJ191" s="373"/>
      <c r="EK191" s="373"/>
      <c r="EL191" s="373"/>
      <c r="EM191" s="373"/>
      <c r="EN191" s="373"/>
      <c r="EO191" s="373"/>
      <c r="EP191" s="373"/>
      <c r="EQ191" s="373"/>
      <c r="ER191" s="373"/>
      <c r="ES191" s="373"/>
      <c r="ET191" s="373"/>
      <c r="EU191" s="373"/>
      <c r="EV191" s="373"/>
      <c r="EW191" s="373"/>
      <c r="EX191" s="373"/>
      <c r="EY191" s="373"/>
      <c r="EZ191" s="373"/>
      <c r="FA191" s="373"/>
      <c r="FB191" s="373"/>
      <c r="FC191" s="373"/>
      <c r="FD191" s="373"/>
      <c r="FE191" s="373"/>
      <c r="FF191" s="373"/>
      <c r="FG191" s="373"/>
      <c r="FH191" s="373"/>
      <c r="FI191" s="373"/>
      <c r="FJ191" s="373"/>
      <c r="FK191" s="373"/>
      <c r="FL191" s="373"/>
      <c r="FM191" s="373"/>
      <c r="FN191" s="373"/>
      <c r="FO191" s="373"/>
      <c r="FP191" s="373"/>
      <c r="FQ191" s="373"/>
      <c r="FR191" s="373"/>
      <c r="FS191" s="373"/>
      <c r="FT191" s="373"/>
      <c r="FU191" s="373"/>
      <c r="FV191" s="373"/>
      <c r="FW191" s="373"/>
      <c r="FX191" s="373"/>
      <c r="FY191" s="373"/>
      <c r="FZ191" s="373"/>
      <c r="GA191" s="373"/>
      <c r="GB191" s="373"/>
      <c r="GC191" s="373"/>
      <c r="GD191" s="373"/>
      <c r="GE191" s="373"/>
      <c r="GF191" s="373"/>
      <c r="GG191" s="373"/>
      <c r="GH191" s="373"/>
      <c r="GI191" s="373"/>
      <c r="GJ191" s="373"/>
      <c r="GK191" s="373"/>
      <c r="GL191" s="373"/>
      <c r="GM191" s="373"/>
      <c r="GN191" s="373"/>
      <c r="GO191" s="373"/>
      <c r="GP191" s="373"/>
      <c r="GQ191" s="373"/>
      <c r="GR191" s="373"/>
      <c r="GS191" s="373"/>
      <c r="GT191" s="373"/>
      <c r="GU191" s="373"/>
      <c r="GV191" s="373"/>
      <c r="GW191" s="373"/>
      <c r="GX191" s="373"/>
      <c r="GY191" s="373"/>
      <c r="GZ191" s="373"/>
      <c r="HA191" s="373"/>
      <c r="HB191" s="373"/>
      <c r="HC191" s="373"/>
      <c r="HD191" s="373"/>
      <c r="HE191" s="373"/>
      <c r="HF191" s="373"/>
      <c r="HG191" s="373"/>
      <c r="HH191" s="373"/>
      <c r="HI191" s="373"/>
      <c r="HJ191" s="373"/>
      <c r="HK191" s="373"/>
      <c r="HL191" s="373"/>
      <c r="HM191" s="373"/>
      <c r="HN191" s="373"/>
      <c r="HO191" s="373"/>
      <c r="HP191" s="373"/>
      <c r="HQ191" s="373"/>
      <c r="HR191" s="373"/>
      <c r="HS191" s="373"/>
      <c r="HT191" s="373"/>
      <c r="HU191" s="373"/>
      <c r="HV191" s="373"/>
      <c r="HW191" s="373"/>
      <c r="HX191" s="373"/>
      <c r="HY191" s="373"/>
      <c r="HZ191" s="373"/>
      <c r="IA191" s="373"/>
      <c r="IB191" s="373"/>
      <c r="IC191" s="373"/>
      <c r="ID191" s="373"/>
      <c r="IE191" s="373"/>
      <c r="IF191" s="373"/>
      <c r="IG191" s="373"/>
      <c r="IH191" s="373"/>
      <c r="II191" s="373"/>
      <c r="IJ191" s="373"/>
      <c r="IK191" s="373"/>
      <c r="IL191" s="373"/>
      <c r="IM191" s="373"/>
      <c r="IN191" s="373"/>
      <c r="IO191" s="373"/>
      <c r="IP191" s="373"/>
      <c r="IQ191" s="373"/>
    </row>
    <row r="192" spans="1:251">
      <c r="A192" s="384"/>
      <c r="B192" s="385" t="s">
        <v>591</v>
      </c>
      <c r="C192" s="356">
        <f>D192+E192</f>
        <v>790000</v>
      </c>
      <c r="D192" s="356">
        <v>790000</v>
      </c>
      <c r="E192" s="376">
        <v>0</v>
      </c>
      <c r="F192" s="368"/>
      <c r="G192" s="386" t="s">
        <v>421</v>
      </c>
      <c r="H192" s="386" t="s">
        <v>421</v>
      </c>
      <c r="I192" s="386" t="s">
        <v>421</v>
      </c>
    </row>
    <row r="193" spans="1:251" ht="9.9499999999999993" customHeight="1">
      <c r="A193" s="384"/>
      <c r="B193" s="385"/>
      <c r="C193" s="356"/>
      <c r="D193" s="356"/>
      <c r="E193" s="376"/>
      <c r="F193" s="368"/>
      <c r="G193" s="356"/>
      <c r="H193" s="356"/>
      <c r="I193" s="356"/>
    </row>
    <row r="194" spans="1:251">
      <c r="A194" s="384"/>
      <c r="B194" s="391" t="s">
        <v>314</v>
      </c>
      <c r="C194" s="386" t="s">
        <v>421</v>
      </c>
      <c r="D194" s="386" t="s">
        <v>421</v>
      </c>
      <c r="E194" s="400" t="s">
        <v>421</v>
      </c>
      <c r="F194" s="368"/>
      <c r="G194" s="356">
        <f>H194+I194</f>
        <v>790000</v>
      </c>
      <c r="H194" s="356">
        <v>790000</v>
      </c>
      <c r="I194" s="356">
        <v>0</v>
      </c>
    </row>
    <row r="195" spans="1:251" ht="9.9499999999999993" customHeight="1">
      <c r="A195" s="374"/>
      <c r="B195" s="375"/>
      <c r="C195" s="396"/>
      <c r="D195" s="396"/>
      <c r="E195" s="397"/>
      <c r="F195" s="368"/>
      <c r="G195" s="356"/>
      <c r="H195" s="356"/>
      <c r="I195" s="356"/>
    </row>
    <row r="196" spans="1:251" ht="15.75">
      <c r="A196" s="357"/>
      <c r="B196" s="358" t="s">
        <v>316</v>
      </c>
      <c r="C196" s="359">
        <f>C14</f>
        <v>74283950</v>
      </c>
      <c r="D196" s="359">
        <f>D14</f>
        <v>74081000</v>
      </c>
      <c r="E196" s="361">
        <f>E14</f>
        <v>202950</v>
      </c>
      <c r="F196" s="430"/>
      <c r="G196" s="359">
        <f>G198+G200+G202</f>
        <v>74283950</v>
      </c>
      <c r="H196" s="359">
        <f>H198+H200+H202</f>
        <v>74081000</v>
      </c>
      <c r="I196" s="359">
        <f>I198+I200+I202</f>
        <v>202950</v>
      </c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  <c r="AA196" s="277"/>
      <c r="AB196" s="277"/>
      <c r="AC196" s="277"/>
      <c r="AD196" s="277"/>
      <c r="AE196" s="277"/>
      <c r="AF196" s="277"/>
      <c r="AG196" s="277"/>
      <c r="AH196" s="277"/>
      <c r="AI196" s="277"/>
      <c r="AJ196" s="277"/>
      <c r="AK196" s="277"/>
      <c r="AL196" s="277"/>
      <c r="AM196" s="277"/>
      <c r="AN196" s="277"/>
      <c r="AO196" s="277"/>
      <c r="AP196" s="277"/>
      <c r="AQ196" s="277"/>
      <c r="AR196" s="277"/>
      <c r="AS196" s="277"/>
      <c r="AT196" s="277"/>
      <c r="AU196" s="277"/>
      <c r="AV196" s="277"/>
      <c r="AW196" s="277"/>
      <c r="AX196" s="277"/>
      <c r="AY196" s="277"/>
      <c r="AZ196" s="277"/>
      <c r="BA196" s="277"/>
      <c r="BB196" s="277"/>
      <c r="BC196" s="277"/>
      <c r="BD196" s="277"/>
      <c r="BE196" s="277"/>
      <c r="BF196" s="277"/>
      <c r="BG196" s="277"/>
      <c r="BH196" s="277"/>
      <c r="BI196" s="277"/>
      <c r="BJ196" s="277"/>
      <c r="BK196" s="277"/>
      <c r="BL196" s="277"/>
      <c r="BM196" s="277"/>
      <c r="BN196" s="277"/>
      <c r="BO196" s="277"/>
      <c r="BP196" s="277"/>
      <c r="BQ196" s="277"/>
      <c r="BR196" s="277"/>
      <c r="BS196" s="277"/>
      <c r="BT196" s="277"/>
      <c r="BU196" s="277"/>
      <c r="BV196" s="277"/>
      <c r="BW196" s="277"/>
      <c r="BX196" s="277"/>
      <c r="BY196" s="277"/>
      <c r="BZ196" s="277"/>
      <c r="CA196" s="277"/>
      <c r="CB196" s="277"/>
      <c r="CC196" s="277"/>
      <c r="CD196" s="277"/>
      <c r="CE196" s="277"/>
      <c r="CF196" s="277"/>
      <c r="CG196" s="277"/>
      <c r="CH196" s="277"/>
      <c r="CI196" s="277"/>
      <c r="CJ196" s="277"/>
      <c r="CK196" s="277"/>
      <c r="CL196" s="277"/>
      <c r="CM196" s="277"/>
      <c r="CN196" s="277"/>
      <c r="CO196" s="277"/>
      <c r="CP196" s="277"/>
      <c r="CQ196" s="277"/>
      <c r="CR196" s="277"/>
      <c r="CS196" s="277"/>
      <c r="CT196" s="277"/>
      <c r="CU196" s="277"/>
      <c r="CV196" s="277"/>
      <c r="CW196" s="277"/>
      <c r="CX196" s="277"/>
      <c r="CY196" s="277"/>
      <c r="CZ196" s="277"/>
      <c r="DA196" s="277"/>
      <c r="DB196" s="277"/>
      <c r="DC196" s="277"/>
      <c r="DD196" s="277"/>
      <c r="DE196" s="277"/>
      <c r="DF196" s="277"/>
      <c r="DG196" s="277"/>
      <c r="DH196" s="277"/>
      <c r="DI196" s="277"/>
      <c r="DJ196" s="277"/>
      <c r="DK196" s="277"/>
      <c r="DL196" s="277"/>
      <c r="DM196" s="277"/>
      <c r="DN196" s="277"/>
      <c r="DO196" s="277"/>
      <c r="DP196" s="277"/>
      <c r="DQ196" s="277"/>
      <c r="DR196" s="277"/>
      <c r="DS196" s="277"/>
      <c r="DT196" s="277"/>
      <c r="DU196" s="277"/>
      <c r="DV196" s="277"/>
      <c r="DW196" s="277"/>
      <c r="DX196" s="277"/>
      <c r="DY196" s="277"/>
      <c r="DZ196" s="277"/>
      <c r="EA196" s="277"/>
      <c r="EB196" s="277"/>
      <c r="EC196" s="277"/>
      <c r="ED196" s="277"/>
      <c r="EE196" s="277"/>
      <c r="EF196" s="277"/>
      <c r="EG196" s="277"/>
      <c r="EH196" s="277"/>
      <c r="EI196" s="277"/>
      <c r="EJ196" s="277"/>
      <c r="EK196" s="277"/>
      <c r="EL196" s="277"/>
      <c r="EM196" s="277"/>
      <c r="EN196" s="277"/>
      <c r="EO196" s="277"/>
      <c r="EP196" s="277"/>
      <c r="EQ196" s="277"/>
      <c r="ER196" s="277"/>
      <c r="ES196" s="277"/>
      <c r="ET196" s="277"/>
      <c r="EU196" s="277"/>
      <c r="EV196" s="277"/>
      <c r="EW196" s="277"/>
      <c r="EX196" s="277"/>
      <c r="EY196" s="277"/>
      <c r="EZ196" s="277"/>
      <c r="FA196" s="277"/>
      <c r="FB196" s="277"/>
      <c r="FC196" s="277"/>
      <c r="FD196" s="277"/>
      <c r="FE196" s="277"/>
      <c r="FF196" s="277"/>
      <c r="FG196" s="277"/>
      <c r="FH196" s="277"/>
      <c r="FI196" s="277"/>
      <c r="FJ196" s="277"/>
      <c r="FK196" s="277"/>
      <c r="FL196" s="277"/>
      <c r="FM196" s="277"/>
      <c r="FN196" s="277"/>
      <c r="FO196" s="277"/>
      <c r="FP196" s="277"/>
      <c r="FQ196" s="277"/>
      <c r="FR196" s="277"/>
      <c r="FS196" s="277"/>
      <c r="FT196" s="277"/>
      <c r="FU196" s="277"/>
      <c r="FV196" s="277"/>
      <c r="FW196" s="277"/>
      <c r="FX196" s="277"/>
      <c r="FY196" s="277"/>
      <c r="FZ196" s="277"/>
      <c r="GA196" s="277"/>
      <c r="GB196" s="277"/>
      <c r="GC196" s="277"/>
      <c r="GD196" s="277"/>
      <c r="GE196" s="277"/>
      <c r="GF196" s="277"/>
      <c r="GG196" s="277"/>
      <c r="GH196" s="277"/>
      <c r="GI196" s="277"/>
      <c r="GJ196" s="277"/>
      <c r="GK196" s="277"/>
      <c r="GL196" s="277"/>
      <c r="GM196" s="277"/>
      <c r="GN196" s="277"/>
      <c r="GO196" s="277"/>
      <c r="GP196" s="277"/>
      <c r="GQ196" s="277"/>
      <c r="GR196" s="277"/>
      <c r="GS196" s="277"/>
      <c r="GT196" s="277"/>
      <c r="GU196" s="277"/>
      <c r="GV196" s="277"/>
      <c r="GW196" s="277"/>
      <c r="GX196" s="277"/>
      <c r="GY196" s="277"/>
      <c r="GZ196" s="277"/>
      <c r="HA196" s="277"/>
      <c r="HB196" s="277"/>
      <c r="HC196" s="277"/>
      <c r="HD196" s="277"/>
      <c r="HE196" s="277"/>
      <c r="HF196" s="277"/>
      <c r="HG196" s="277"/>
      <c r="HH196" s="277"/>
      <c r="HI196" s="277"/>
      <c r="HJ196" s="277"/>
      <c r="HK196" s="277"/>
      <c r="HL196" s="277"/>
      <c r="HM196" s="277"/>
      <c r="HN196" s="277"/>
      <c r="HO196" s="277"/>
      <c r="HP196" s="277"/>
      <c r="HQ196" s="277"/>
      <c r="HR196" s="277"/>
      <c r="HS196" s="277"/>
      <c r="HT196" s="277"/>
      <c r="HU196" s="277"/>
      <c r="HV196" s="277"/>
      <c r="HW196" s="277"/>
      <c r="HX196" s="277"/>
      <c r="HY196" s="277"/>
      <c r="HZ196" s="277"/>
      <c r="IA196" s="277"/>
      <c r="IB196" s="277"/>
      <c r="IC196" s="277"/>
      <c r="ID196" s="277"/>
      <c r="IE196" s="277"/>
      <c r="IF196" s="277"/>
      <c r="IG196" s="277"/>
      <c r="IH196" s="277"/>
      <c r="II196" s="277"/>
      <c r="IJ196" s="277"/>
      <c r="IK196" s="277"/>
      <c r="IL196" s="277"/>
      <c r="IM196" s="277"/>
      <c r="IN196" s="277"/>
      <c r="IO196" s="277"/>
      <c r="IP196" s="277"/>
      <c r="IQ196" s="277"/>
    </row>
    <row r="197" spans="1:251">
      <c r="B197" s="431" t="s">
        <v>305</v>
      </c>
      <c r="C197" s="386"/>
      <c r="D197" s="386"/>
      <c r="E197" s="400"/>
      <c r="F197" s="432"/>
      <c r="G197" s="418"/>
      <c r="H197" s="356"/>
      <c r="I197" s="356"/>
    </row>
    <row r="198" spans="1:251">
      <c r="B198" s="387" t="s">
        <v>314</v>
      </c>
      <c r="C198" s="386" t="s">
        <v>421</v>
      </c>
      <c r="D198" s="386" t="s">
        <v>421</v>
      </c>
      <c r="E198" s="400" t="s">
        <v>421</v>
      </c>
      <c r="F198" s="433"/>
      <c r="G198" s="418">
        <f>G34+G52+G64+G74+G92+G132+G150+G162+G170+G194</f>
        <v>4695511</v>
      </c>
      <c r="H198" s="356">
        <f>H34+H52+H64+H74+H92+H132+H150+H162+H170+H194</f>
        <v>4695511</v>
      </c>
      <c r="I198" s="356">
        <f>I34+I52+I64+I74+I92+I132+I150+I162+I170+I194</f>
        <v>0</v>
      </c>
    </row>
    <row r="199" spans="1:251" ht="9.9499999999999993" customHeight="1">
      <c r="B199" s="434"/>
      <c r="C199" s="386"/>
      <c r="D199" s="386"/>
      <c r="E199" s="400"/>
      <c r="F199" s="433"/>
      <c r="G199" s="418"/>
      <c r="H199" s="356"/>
      <c r="I199" s="356"/>
    </row>
    <row r="200" spans="1:251">
      <c r="B200" s="387" t="s">
        <v>619</v>
      </c>
      <c r="C200" s="386" t="s">
        <v>421</v>
      </c>
      <c r="D200" s="386" t="s">
        <v>421</v>
      </c>
      <c r="E200" s="400" t="s">
        <v>421</v>
      </c>
      <c r="F200" s="433"/>
      <c r="G200" s="418">
        <f>G24+G54+G82+G94+G104+G114+G122+G134+G152+G172+G180+G186</f>
        <v>25937439</v>
      </c>
      <c r="H200" s="356">
        <f>H24+H54+H82+H94+H104+H114+H122+H134+H152+H172+H180+H186</f>
        <v>25734489</v>
      </c>
      <c r="I200" s="356">
        <f>I24+I54+I82+I94+I104+I114+I122+I134+I152+I172+I180+I186</f>
        <v>202950</v>
      </c>
    </row>
    <row r="201" spans="1:251" ht="9.9499999999999993" customHeight="1">
      <c r="B201" s="434"/>
      <c r="C201" s="386"/>
      <c r="D201" s="386"/>
      <c r="E201" s="400"/>
      <c r="F201" s="433"/>
      <c r="G201" s="418"/>
      <c r="H201" s="356"/>
      <c r="I201" s="356"/>
    </row>
    <row r="202" spans="1:251">
      <c r="B202" s="387" t="s">
        <v>620</v>
      </c>
      <c r="C202" s="386" t="s">
        <v>421</v>
      </c>
      <c r="D202" s="386" t="s">
        <v>421</v>
      </c>
      <c r="E202" s="400" t="s">
        <v>421</v>
      </c>
      <c r="F202" s="435"/>
      <c r="G202" s="418">
        <f>G44+G144</f>
        <v>43651000</v>
      </c>
      <c r="H202" s="356">
        <f>H44+H144</f>
        <v>43651000</v>
      </c>
      <c r="I202" s="356">
        <f>I44+I144</f>
        <v>0</v>
      </c>
    </row>
  </sheetData>
  <sheetProtection algorithmName="SHA-512" hashValue="DcRM+ShjTtATQCACZUTWQ0QzDCtbHvdLN+QWKuN4K6/9EOtO1a8nxYKgpbEhepWdB2iiVLtPUTp2+J8JwW8hRw==" saltValue="KldUNSV/C7Dm7Ya1JKU1Fg==" spinCount="100000" sheet="1" objects="1" scenarios="1"/>
  <mergeCells count="35">
    <mergeCell ref="A190:B190"/>
    <mergeCell ref="E2:F2"/>
    <mergeCell ref="E3:F3"/>
    <mergeCell ref="A146:B146"/>
    <mergeCell ref="A158:B158"/>
    <mergeCell ref="A166:B166"/>
    <mergeCell ref="A48:B48"/>
    <mergeCell ref="A20:B20"/>
    <mergeCell ref="A30:B30"/>
    <mergeCell ref="A40:B40"/>
    <mergeCell ref="A176:B176"/>
    <mergeCell ref="A182:B182"/>
    <mergeCell ref="A118:B118"/>
    <mergeCell ref="A128:B128"/>
    <mergeCell ref="A140:B140"/>
    <mergeCell ref="A60:B60"/>
    <mergeCell ref="A70:B70"/>
    <mergeCell ref="A78:B78"/>
    <mergeCell ref="A88:B88"/>
    <mergeCell ref="A100:B100"/>
    <mergeCell ref="A110:B110"/>
    <mergeCell ref="E1:F1"/>
    <mergeCell ref="A5:I5"/>
    <mergeCell ref="A6:I6"/>
    <mergeCell ref="A7:F7"/>
    <mergeCell ref="A9:A11"/>
    <mergeCell ref="B9:B11"/>
    <mergeCell ref="C9:E9"/>
    <mergeCell ref="G9:I9"/>
    <mergeCell ref="C10:C11"/>
    <mergeCell ref="D10:E10"/>
    <mergeCell ref="G2:I2"/>
    <mergeCell ref="G3:I3"/>
    <mergeCell ref="G10:G11"/>
    <mergeCell ref="H10:I10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4"/>
  <sheetViews>
    <sheetView view="pageBreakPreview" zoomScaleNormal="100" zoomScaleSheetLayoutView="100" workbookViewId="0">
      <selection activeCell="G21" sqref="G21"/>
    </sheetView>
  </sheetViews>
  <sheetFormatPr defaultRowHeight="12.75"/>
  <cols>
    <col min="1" max="1" width="7.25" style="263" customWidth="1"/>
    <col min="2" max="2" width="36.125" style="263" customWidth="1"/>
    <col min="3" max="4" width="12.5" style="263" customWidth="1"/>
    <col min="5" max="5" width="11.375" style="263" customWidth="1"/>
    <col min="6" max="6" width="2.125" style="263" customWidth="1"/>
    <col min="7" max="7" width="13.125" style="263" customWidth="1"/>
    <col min="8" max="8" width="13" style="263" customWidth="1"/>
    <col min="9" max="10" width="11.25" style="263" customWidth="1"/>
    <col min="11" max="256" width="9" style="263"/>
    <col min="257" max="257" width="7.25" style="263" customWidth="1"/>
    <col min="258" max="258" width="36.125" style="263" customWidth="1"/>
    <col min="259" max="260" width="12.5" style="263" customWidth="1"/>
    <col min="261" max="261" width="11.375" style="263" customWidth="1"/>
    <col min="262" max="262" width="2.125" style="263" customWidth="1"/>
    <col min="263" max="263" width="13.125" style="263" customWidth="1"/>
    <col min="264" max="264" width="13" style="263" customWidth="1"/>
    <col min="265" max="266" width="11.25" style="263" customWidth="1"/>
    <col min="267" max="512" width="9" style="263"/>
    <col min="513" max="513" width="7.25" style="263" customWidth="1"/>
    <col min="514" max="514" width="36.125" style="263" customWidth="1"/>
    <col min="515" max="516" width="12.5" style="263" customWidth="1"/>
    <col min="517" max="517" width="11.375" style="263" customWidth="1"/>
    <col min="518" max="518" width="2.125" style="263" customWidth="1"/>
    <col min="519" max="519" width="13.125" style="263" customWidth="1"/>
    <col min="520" max="520" width="13" style="263" customWidth="1"/>
    <col min="521" max="522" width="11.25" style="263" customWidth="1"/>
    <col min="523" max="768" width="9" style="263"/>
    <col min="769" max="769" width="7.25" style="263" customWidth="1"/>
    <col min="770" max="770" width="36.125" style="263" customWidth="1"/>
    <col min="771" max="772" width="12.5" style="263" customWidth="1"/>
    <col min="773" max="773" width="11.375" style="263" customWidth="1"/>
    <col min="774" max="774" width="2.125" style="263" customWidth="1"/>
    <col min="775" max="775" width="13.125" style="263" customWidth="1"/>
    <col min="776" max="776" width="13" style="263" customWidth="1"/>
    <col min="777" max="778" width="11.25" style="263" customWidth="1"/>
    <col min="779" max="1024" width="9" style="263"/>
    <col min="1025" max="1025" width="7.25" style="263" customWidth="1"/>
    <col min="1026" max="1026" width="36.125" style="263" customWidth="1"/>
    <col min="1027" max="1028" width="12.5" style="263" customWidth="1"/>
    <col min="1029" max="1029" width="11.375" style="263" customWidth="1"/>
    <col min="1030" max="1030" width="2.125" style="263" customWidth="1"/>
    <col min="1031" max="1031" width="13.125" style="263" customWidth="1"/>
    <col min="1032" max="1032" width="13" style="263" customWidth="1"/>
    <col min="1033" max="1034" width="11.25" style="263" customWidth="1"/>
    <col min="1035" max="1280" width="9" style="263"/>
    <col min="1281" max="1281" width="7.25" style="263" customWidth="1"/>
    <col min="1282" max="1282" width="36.125" style="263" customWidth="1"/>
    <col min="1283" max="1284" width="12.5" style="263" customWidth="1"/>
    <col min="1285" max="1285" width="11.375" style="263" customWidth="1"/>
    <col min="1286" max="1286" width="2.125" style="263" customWidth="1"/>
    <col min="1287" max="1287" width="13.125" style="263" customWidth="1"/>
    <col min="1288" max="1288" width="13" style="263" customWidth="1"/>
    <col min="1289" max="1290" width="11.25" style="263" customWidth="1"/>
    <col min="1291" max="1536" width="9" style="263"/>
    <col min="1537" max="1537" width="7.25" style="263" customWidth="1"/>
    <col min="1538" max="1538" width="36.125" style="263" customWidth="1"/>
    <col min="1539" max="1540" width="12.5" style="263" customWidth="1"/>
    <col min="1541" max="1541" width="11.375" style="263" customWidth="1"/>
    <col min="1542" max="1542" width="2.125" style="263" customWidth="1"/>
    <col min="1543" max="1543" width="13.125" style="263" customWidth="1"/>
    <col min="1544" max="1544" width="13" style="263" customWidth="1"/>
    <col min="1545" max="1546" width="11.25" style="263" customWidth="1"/>
    <col min="1547" max="1792" width="9" style="263"/>
    <col min="1793" max="1793" width="7.25" style="263" customWidth="1"/>
    <col min="1794" max="1794" width="36.125" style="263" customWidth="1"/>
    <col min="1795" max="1796" width="12.5" style="263" customWidth="1"/>
    <col min="1797" max="1797" width="11.375" style="263" customWidth="1"/>
    <col min="1798" max="1798" width="2.125" style="263" customWidth="1"/>
    <col min="1799" max="1799" width="13.125" style="263" customWidth="1"/>
    <col min="1800" max="1800" width="13" style="263" customWidth="1"/>
    <col min="1801" max="1802" width="11.25" style="263" customWidth="1"/>
    <col min="1803" max="2048" width="9" style="263"/>
    <col min="2049" max="2049" width="7.25" style="263" customWidth="1"/>
    <col min="2050" max="2050" width="36.125" style="263" customWidth="1"/>
    <col min="2051" max="2052" width="12.5" style="263" customWidth="1"/>
    <col min="2053" max="2053" width="11.375" style="263" customWidth="1"/>
    <col min="2054" max="2054" width="2.125" style="263" customWidth="1"/>
    <col min="2055" max="2055" width="13.125" style="263" customWidth="1"/>
    <col min="2056" max="2056" width="13" style="263" customWidth="1"/>
    <col min="2057" max="2058" width="11.25" style="263" customWidth="1"/>
    <col min="2059" max="2304" width="9" style="263"/>
    <col min="2305" max="2305" width="7.25" style="263" customWidth="1"/>
    <col min="2306" max="2306" width="36.125" style="263" customWidth="1"/>
    <col min="2307" max="2308" width="12.5" style="263" customWidth="1"/>
    <col min="2309" max="2309" width="11.375" style="263" customWidth="1"/>
    <col min="2310" max="2310" width="2.125" style="263" customWidth="1"/>
    <col min="2311" max="2311" width="13.125" style="263" customWidth="1"/>
    <col min="2312" max="2312" width="13" style="263" customWidth="1"/>
    <col min="2313" max="2314" width="11.25" style="263" customWidth="1"/>
    <col min="2315" max="2560" width="9" style="263"/>
    <col min="2561" max="2561" width="7.25" style="263" customWidth="1"/>
    <col min="2562" max="2562" width="36.125" style="263" customWidth="1"/>
    <col min="2563" max="2564" width="12.5" style="263" customWidth="1"/>
    <col min="2565" max="2565" width="11.375" style="263" customWidth="1"/>
    <col min="2566" max="2566" width="2.125" style="263" customWidth="1"/>
    <col min="2567" max="2567" width="13.125" style="263" customWidth="1"/>
    <col min="2568" max="2568" width="13" style="263" customWidth="1"/>
    <col min="2569" max="2570" width="11.25" style="263" customWidth="1"/>
    <col min="2571" max="2816" width="9" style="263"/>
    <col min="2817" max="2817" width="7.25" style="263" customWidth="1"/>
    <col min="2818" max="2818" width="36.125" style="263" customWidth="1"/>
    <col min="2819" max="2820" width="12.5" style="263" customWidth="1"/>
    <col min="2821" max="2821" width="11.375" style="263" customWidth="1"/>
    <col min="2822" max="2822" width="2.125" style="263" customWidth="1"/>
    <col min="2823" max="2823" width="13.125" style="263" customWidth="1"/>
    <col min="2824" max="2824" width="13" style="263" customWidth="1"/>
    <col min="2825" max="2826" width="11.25" style="263" customWidth="1"/>
    <col min="2827" max="3072" width="9" style="263"/>
    <col min="3073" max="3073" width="7.25" style="263" customWidth="1"/>
    <col min="3074" max="3074" width="36.125" style="263" customWidth="1"/>
    <col min="3075" max="3076" width="12.5" style="263" customWidth="1"/>
    <col min="3077" max="3077" width="11.375" style="263" customWidth="1"/>
    <col min="3078" max="3078" width="2.125" style="263" customWidth="1"/>
    <col min="3079" max="3079" width="13.125" style="263" customWidth="1"/>
    <col min="3080" max="3080" width="13" style="263" customWidth="1"/>
    <col min="3081" max="3082" width="11.25" style="263" customWidth="1"/>
    <col min="3083" max="3328" width="9" style="263"/>
    <col min="3329" max="3329" width="7.25" style="263" customWidth="1"/>
    <col min="3330" max="3330" width="36.125" style="263" customWidth="1"/>
    <col min="3331" max="3332" width="12.5" style="263" customWidth="1"/>
    <col min="3333" max="3333" width="11.375" style="263" customWidth="1"/>
    <col min="3334" max="3334" width="2.125" style="263" customWidth="1"/>
    <col min="3335" max="3335" width="13.125" style="263" customWidth="1"/>
    <col min="3336" max="3336" width="13" style="263" customWidth="1"/>
    <col min="3337" max="3338" width="11.25" style="263" customWidth="1"/>
    <col min="3339" max="3584" width="9" style="263"/>
    <col min="3585" max="3585" width="7.25" style="263" customWidth="1"/>
    <col min="3586" max="3586" width="36.125" style="263" customWidth="1"/>
    <col min="3587" max="3588" width="12.5" style="263" customWidth="1"/>
    <col min="3589" max="3589" width="11.375" style="263" customWidth="1"/>
    <col min="3590" max="3590" width="2.125" style="263" customWidth="1"/>
    <col min="3591" max="3591" width="13.125" style="263" customWidth="1"/>
    <col min="3592" max="3592" width="13" style="263" customWidth="1"/>
    <col min="3593" max="3594" width="11.25" style="263" customWidth="1"/>
    <col min="3595" max="3840" width="9" style="263"/>
    <col min="3841" max="3841" width="7.25" style="263" customWidth="1"/>
    <col min="3842" max="3842" width="36.125" style="263" customWidth="1"/>
    <col min="3843" max="3844" width="12.5" style="263" customWidth="1"/>
    <col min="3845" max="3845" width="11.375" style="263" customWidth="1"/>
    <col min="3846" max="3846" width="2.125" style="263" customWidth="1"/>
    <col min="3847" max="3847" width="13.125" style="263" customWidth="1"/>
    <col min="3848" max="3848" width="13" style="263" customWidth="1"/>
    <col min="3849" max="3850" width="11.25" style="263" customWidth="1"/>
    <col min="3851" max="4096" width="9" style="263"/>
    <col min="4097" max="4097" width="7.25" style="263" customWidth="1"/>
    <col min="4098" max="4098" width="36.125" style="263" customWidth="1"/>
    <col min="4099" max="4100" width="12.5" style="263" customWidth="1"/>
    <col min="4101" max="4101" width="11.375" style="263" customWidth="1"/>
    <col min="4102" max="4102" width="2.125" style="263" customWidth="1"/>
    <col min="4103" max="4103" width="13.125" style="263" customWidth="1"/>
    <col min="4104" max="4104" width="13" style="263" customWidth="1"/>
    <col min="4105" max="4106" width="11.25" style="263" customWidth="1"/>
    <col min="4107" max="4352" width="9" style="263"/>
    <col min="4353" max="4353" width="7.25" style="263" customWidth="1"/>
    <col min="4354" max="4354" width="36.125" style="263" customWidth="1"/>
    <col min="4355" max="4356" width="12.5" style="263" customWidth="1"/>
    <col min="4357" max="4357" width="11.375" style="263" customWidth="1"/>
    <col min="4358" max="4358" width="2.125" style="263" customWidth="1"/>
    <col min="4359" max="4359" width="13.125" style="263" customWidth="1"/>
    <col min="4360" max="4360" width="13" style="263" customWidth="1"/>
    <col min="4361" max="4362" width="11.25" style="263" customWidth="1"/>
    <col min="4363" max="4608" width="9" style="263"/>
    <col min="4609" max="4609" width="7.25" style="263" customWidth="1"/>
    <col min="4610" max="4610" width="36.125" style="263" customWidth="1"/>
    <col min="4611" max="4612" width="12.5" style="263" customWidth="1"/>
    <col min="4613" max="4613" width="11.375" style="263" customWidth="1"/>
    <col min="4614" max="4614" width="2.125" style="263" customWidth="1"/>
    <col min="4615" max="4615" width="13.125" style="263" customWidth="1"/>
    <col min="4616" max="4616" width="13" style="263" customWidth="1"/>
    <col min="4617" max="4618" width="11.25" style="263" customWidth="1"/>
    <col min="4619" max="4864" width="9" style="263"/>
    <col min="4865" max="4865" width="7.25" style="263" customWidth="1"/>
    <col min="4866" max="4866" width="36.125" style="263" customWidth="1"/>
    <col min="4867" max="4868" width="12.5" style="263" customWidth="1"/>
    <col min="4869" max="4869" width="11.375" style="263" customWidth="1"/>
    <col min="4870" max="4870" width="2.125" style="263" customWidth="1"/>
    <col min="4871" max="4871" width="13.125" style="263" customWidth="1"/>
    <col min="4872" max="4872" width="13" style="263" customWidth="1"/>
    <col min="4873" max="4874" width="11.25" style="263" customWidth="1"/>
    <col min="4875" max="5120" width="9" style="263"/>
    <col min="5121" max="5121" width="7.25" style="263" customWidth="1"/>
    <col min="5122" max="5122" width="36.125" style="263" customWidth="1"/>
    <col min="5123" max="5124" width="12.5" style="263" customWidth="1"/>
    <col min="5125" max="5125" width="11.375" style="263" customWidth="1"/>
    <col min="5126" max="5126" width="2.125" style="263" customWidth="1"/>
    <col min="5127" max="5127" width="13.125" style="263" customWidth="1"/>
    <col min="5128" max="5128" width="13" style="263" customWidth="1"/>
    <col min="5129" max="5130" width="11.25" style="263" customWidth="1"/>
    <col min="5131" max="5376" width="9" style="263"/>
    <col min="5377" max="5377" width="7.25" style="263" customWidth="1"/>
    <col min="5378" max="5378" width="36.125" style="263" customWidth="1"/>
    <col min="5379" max="5380" width="12.5" style="263" customWidth="1"/>
    <col min="5381" max="5381" width="11.375" style="263" customWidth="1"/>
    <col min="5382" max="5382" width="2.125" style="263" customWidth="1"/>
    <col min="5383" max="5383" width="13.125" style="263" customWidth="1"/>
    <col min="5384" max="5384" width="13" style="263" customWidth="1"/>
    <col min="5385" max="5386" width="11.25" style="263" customWidth="1"/>
    <col min="5387" max="5632" width="9" style="263"/>
    <col min="5633" max="5633" width="7.25" style="263" customWidth="1"/>
    <col min="5634" max="5634" width="36.125" style="263" customWidth="1"/>
    <col min="5635" max="5636" width="12.5" style="263" customWidth="1"/>
    <col min="5637" max="5637" width="11.375" style="263" customWidth="1"/>
    <col min="5638" max="5638" width="2.125" style="263" customWidth="1"/>
    <col min="5639" max="5639" width="13.125" style="263" customWidth="1"/>
    <col min="5640" max="5640" width="13" style="263" customWidth="1"/>
    <col min="5641" max="5642" width="11.25" style="263" customWidth="1"/>
    <col min="5643" max="5888" width="9" style="263"/>
    <col min="5889" max="5889" width="7.25" style="263" customWidth="1"/>
    <col min="5890" max="5890" width="36.125" style="263" customWidth="1"/>
    <col min="5891" max="5892" width="12.5" style="263" customWidth="1"/>
    <col min="5893" max="5893" width="11.375" style="263" customWidth="1"/>
    <col min="5894" max="5894" width="2.125" style="263" customWidth="1"/>
    <col min="5895" max="5895" width="13.125" style="263" customWidth="1"/>
    <col min="5896" max="5896" width="13" style="263" customWidth="1"/>
    <col min="5897" max="5898" width="11.25" style="263" customWidth="1"/>
    <col min="5899" max="6144" width="9" style="263"/>
    <col min="6145" max="6145" width="7.25" style="263" customWidth="1"/>
    <col min="6146" max="6146" width="36.125" style="263" customWidth="1"/>
    <col min="6147" max="6148" width="12.5" style="263" customWidth="1"/>
    <col min="6149" max="6149" width="11.375" style="263" customWidth="1"/>
    <col min="6150" max="6150" width="2.125" style="263" customWidth="1"/>
    <col min="6151" max="6151" width="13.125" style="263" customWidth="1"/>
    <col min="6152" max="6152" width="13" style="263" customWidth="1"/>
    <col min="6153" max="6154" width="11.25" style="263" customWidth="1"/>
    <col min="6155" max="6400" width="9" style="263"/>
    <col min="6401" max="6401" width="7.25" style="263" customWidth="1"/>
    <col min="6402" max="6402" width="36.125" style="263" customWidth="1"/>
    <col min="6403" max="6404" width="12.5" style="263" customWidth="1"/>
    <col min="6405" max="6405" width="11.375" style="263" customWidth="1"/>
    <col min="6406" max="6406" width="2.125" style="263" customWidth="1"/>
    <col min="6407" max="6407" width="13.125" style="263" customWidth="1"/>
    <col min="6408" max="6408" width="13" style="263" customWidth="1"/>
    <col min="6409" max="6410" width="11.25" style="263" customWidth="1"/>
    <col min="6411" max="6656" width="9" style="263"/>
    <col min="6657" max="6657" width="7.25" style="263" customWidth="1"/>
    <col min="6658" max="6658" width="36.125" style="263" customWidth="1"/>
    <col min="6659" max="6660" width="12.5" style="263" customWidth="1"/>
    <col min="6661" max="6661" width="11.375" style="263" customWidth="1"/>
    <col min="6662" max="6662" width="2.125" style="263" customWidth="1"/>
    <col min="6663" max="6663" width="13.125" style="263" customWidth="1"/>
    <col min="6664" max="6664" width="13" style="263" customWidth="1"/>
    <col min="6665" max="6666" width="11.25" style="263" customWidth="1"/>
    <col min="6667" max="6912" width="9" style="263"/>
    <col min="6913" max="6913" width="7.25" style="263" customWidth="1"/>
    <col min="6914" max="6914" width="36.125" style="263" customWidth="1"/>
    <col min="6915" max="6916" width="12.5" style="263" customWidth="1"/>
    <col min="6917" max="6917" width="11.375" style="263" customWidth="1"/>
    <col min="6918" max="6918" width="2.125" style="263" customWidth="1"/>
    <col min="6919" max="6919" width="13.125" style="263" customWidth="1"/>
    <col min="6920" max="6920" width="13" style="263" customWidth="1"/>
    <col min="6921" max="6922" width="11.25" style="263" customWidth="1"/>
    <col min="6923" max="7168" width="9" style="263"/>
    <col min="7169" max="7169" width="7.25" style="263" customWidth="1"/>
    <col min="7170" max="7170" width="36.125" style="263" customWidth="1"/>
    <col min="7171" max="7172" width="12.5" style="263" customWidth="1"/>
    <col min="7173" max="7173" width="11.375" style="263" customWidth="1"/>
    <col min="7174" max="7174" width="2.125" style="263" customWidth="1"/>
    <col min="7175" max="7175" width="13.125" style="263" customWidth="1"/>
    <col min="7176" max="7176" width="13" style="263" customWidth="1"/>
    <col min="7177" max="7178" width="11.25" style="263" customWidth="1"/>
    <col min="7179" max="7424" width="9" style="263"/>
    <col min="7425" max="7425" width="7.25" style="263" customWidth="1"/>
    <col min="7426" max="7426" width="36.125" style="263" customWidth="1"/>
    <col min="7427" max="7428" width="12.5" style="263" customWidth="1"/>
    <col min="7429" max="7429" width="11.375" style="263" customWidth="1"/>
    <col min="7430" max="7430" width="2.125" style="263" customWidth="1"/>
    <col min="7431" max="7431" width="13.125" style="263" customWidth="1"/>
    <col min="7432" max="7432" width="13" style="263" customWidth="1"/>
    <col min="7433" max="7434" width="11.25" style="263" customWidth="1"/>
    <col min="7435" max="7680" width="9" style="263"/>
    <col min="7681" max="7681" width="7.25" style="263" customWidth="1"/>
    <col min="7682" max="7682" width="36.125" style="263" customWidth="1"/>
    <col min="7683" max="7684" width="12.5" style="263" customWidth="1"/>
    <col min="7685" max="7685" width="11.375" style="263" customWidth="1"/>
    <col min="7686" max="7686" width="2.125" style="263" customWidth="1"/>
    <col min="7687" max="7687" width="13.125" style="263" customWidth="1"/>
    <col min="7688" max="7688" width="13" style="263" customWidth="1"/>
    <col min="7689" max="7690" width="11.25" style="263" customWidth="1"/>
    <col min="7691" max="7936" width="9" style="263"/>
    <col min="7937" max="7937" width="7.25" style="263" customWidth="1"/>
    <col min="7938" max="7938" width="36.125" style="263" customWidth="1"/>
    <col min="7939" max="7940" width="12.5" style="263" customWidth="1"/>
    <col min="7941" max="7941" width="11.375" style="263" customWidth="1"/>
    <col min="7942" max="7942" width="2.125" style="263" customWidth="1"/>
    <col min="7943" max="7943" width="13.125" style="263" customWidth="1"/>
    <col min="7944" max="7944" width="13" style="263" customWidth="1"/>
    <col min="7945" max="7946" width="11.25" style="263" customWidth="1"/>
    <col min="7947" max="8192" width="9" style="263"/>
    <col min="8193" max="8193" width="7.25" style="263" customWidth="1"/>
    <col min="8194" max="8194" width="36.125" style="263" customWidth="1"/>
    <col min="8195" max="8196" width="12.5" style="263" customWidth="1"/>
    <col min="8197" max="8197" width="11.375" style="263" customWidth="1"/>
    <col min="8198" max="8198" width="2.125" style="263" customWidth="1"/>
    <col min="8199" max="8199" width="13.125" style="263" customWidth="1"/>
    <col min="8200" max="8200" width="13" style="263" customWidth="1"/>
    <col min="8201" max="8202" width="11.25" style="263" customWidth="1"/>
    <col min="8203" max="8448" width="9" style="263"/>
    <col min="8449" max="8449" width="7.25" style="263" customWidth="1"/>
    <col min="8450" max="8450" width="36.125" style="263" customWidth="1"/>
    <col min="8451" max="8452" width="12.5" style="263" customWidth="1"/>
    <col min="8453" max="8453" width="11.375" style="263" customWidth="1"/>
    <col min="8454" max="8454" width="2.125" style="263" customWidth="1"/>
    <col min="8455" max="8455" width="13.125" style="263" customWidth="1"/>
    <col min="8456" max="8456" width="13" style="263" customWidth="1"/>
    <col min="8457" max="8458" width="11.25" style="263" customWidth="1"/>
    <col min="8459" max="8704" width="9" style="263"/>
    <col min="8705" max="8705" width="7.25" style="263" customWidth="1"/>
    <col min="8706" max="8706" width="36.125" style="263" customWidth="1"/>
    <col min="8707" max="8708" width="12.5" style="263" customWidth="1"/>
    <col min="8709" max="8709" width="11.375" style="263" customWidth="1"/>
    <col min="8710" max="8710" width="2.125" style="263" customWidth="1"/>
    <col min="8711" max="8711" width="13.125" style="263" customWidth="1"/>
    <col min="8712" max="8712" width="13" style="263" customWidth="1"/>
    <col min="8713" max="8714" width="11.25" style="263" customWidth="1"/>
    <col min="8715" max="8960" width="9" style="263"/>
    <col min="8961" max="8961" width="7.25" style="263" customWidth="1"/>
    <col min="8962" max="8962" width="36.125" style="263" customWidth="1"/>
    <col min="8963" max="8964" width="12.5" style="263" customWidth="1"/>
    <col min="8965" max="8965" width="11.375" style="263" customWidth="1"/>
    <col min="8966" max="8966" width="2.125" style="263" customWidth="1"/>
    <col min="8967" max="8967" width="13.125" style="263" customWidth="1"/>
    <col min="8968" max="8968" width="13" style="263" customWidth="1"/>
    <col min="8969" max="8970" width="11.25" style="263" customWidth="1"/>
    <col min="8971" max="9216" width="9" style="263"/>
    <col min="9217" max="9217" width="7.25" style="263" customWidth="1"/>
    <col min="9218" max="9218" width="36.125" style="263" customWidth="1"/>
    <col min="9219" max="9220" width="12.5" style="263" customWidth="1"/>
    <col min="9221" max="9221" width="11.375" style="263" customWidth="1"/>
    <col min="9222" max="9222" width="2.125" style="263" customWidth="1"/>
    <col min="9223" max="9223" width="13.125" style="263" customWidth="1"/>
    <col min="9224" max="9224" width="13" style="263" customWidth="1"/>
    <col min="9225" max="9226" width="11.25" style="263" customWidth="1"/>
    <col min="9227" max="9472" width="9" style="263"/>
    <col min="9473" max="9473" width="7.25" style="263" customWidth="1"/>
    <col min="9474" max="9474" width="36.125" style="263" customWidth="1"/>
    <col min="9475" max="9476" width="12.5" style="263" customWidth="1"/>
    <col min="9477" max="9477" width="11.375" style="263" customWidth="1"/>
    <col min="9478" max="9478" width="2.125" style="263" customWidth="1"/>
    <col min="9479" max="9479" width="13.125" style="263" customWidth="1"/>
    <col min="9480" max="9480" width="13" style="263" customWidth="1"/>
    <col min="9481" max="9482" width="11.25" style="263" customWidth="1"/>
    <col min="9483" max="9728" width="9" style="263"/>
    <col min="9729" max="9729" width="7.25" style="263" customWidth="1"/>
    <col min="9730" max="9730" width="36.125" style="263" customWidth="1"/>
    <col min="9731" max="9732" width="12.5" style="263" customWidth="1"/>
    <col min="9733" max="9733" width="11.375" style="263" customWidth="1"/>
    <col min="9734" max="9734" width="2.125" style="263" customWidth="1"/>
    <col min="9735" max="9735" width="13.125" style="263" customWidth="1"/>
    <col min="9736" max="9736" width="13" style="263" customWidth="1"/>
    <col min="9737" max="9738" width="11.25" style="263" customWidth="1"/>
    <col min="9739" max="9984" width="9" style="263"/>
    <col min="9985" max="9985" width="7.25" style="263" customWidth="1"/>
    <col min="9986" max="9986" width="36.125" style="263" customWidth="1"/>
    <col min="9987" max="9988" width="12.5" style="263" customWidth="1"/>
    <col min="9989" max="9989" width="11.375" style="263" customWidth="1"/>
    <col min="9990" max="9990" width="2.125" style="263" customWidth="1"/>
    <col min="9991" max="9991" width="13.125" style="263" customWidth="1"/>
    <col min="9992" max="9992" width="13" style="263" customWidth="1"/>
    <col min="9993" max="9994" width="11.25" style="263" customWidth="1"/>
    <col min="9995" max="10240" width="9" style="263"/>
    <col min="10241" max="10241" width="7.25" style="263" customWidth="1"/>
    <col min="10242" max="10242" width="36.125" style="263" customWidth="1"/>
    <col min="10243" max="10244" width="12.5" style="263" customWidth="1"/>
    <col min="10245" max="10245" width="11.375" style="263" customWidth="1"/>
    <col min="10246" max="10246" width="2.125" style="263" customWidth="1"/>
    <col min="10247" max="10247" width="13.125" style="263" customWidth="1"/>
    <col min="10248" max="10248" width="13" style="263" customWidth="1"/>
    <col min="10249" max="10250" width="11.25" style="263" customWidth="1"/>
    <col min="10251" max="10496" width="9" style="263"/>
    <col min="10497" max="10497" width="7.25" style="263" customWidth="1"/>
    <col min="10498" max="10498" width="36.125" style="263" customWidth="1"/>
    <col min="10499" max="10500" width="12.5" style="263" customWidth="1"/>
    <col min="10501" max="10501" width="11.375" style="263" customWidth="1"/>
    <col min="10502" max="10502" width="2.125" style="263" customWidth="1"/>
    <col min="10503" max="10503" width="13.125" style="263" customWidth="1"/>
    <col min="10504" max="10504" width="13" style="263" customWidth="1"/>
    <col min="10505" max="10506" width="11.25" style="263" customWidth="1"/>
    <col min="10507" max="10752" width="9" style="263"/>
    <col min="10753" max="10753" width="7.25" style="263" customWidth="1"/>
    <col min="10754" max="10754" width="36.125" style="263" customWidth="1"/>
    <col min="10755" max="10756" width="12.5" style="263" customWidth="1"/>
    <col min="10757" max="10757" width="11.375" style="263" customWidth="1"/>
    <col min="10758" max="10758" width="2.125" style="263" customWidth="1"/>
    <col min="10759" max="10759" width="13.125" style="263" customWidth="1"/>
    <col min="10760" max="10760" width="13" style="263" customWidth="1"/>
    <col min="10761" max="10762" width="11.25" style="263" customWidth="1"/>
    <col min="10763" max="11008" width="9" style="263"/>
    <col min="11009" max="11009" width="7.25" style="263" customWidth="1"/>
    <col min="11010" max="11010" width="36.125" style="263" customWidth="1"/>
    <col min="11011" max="11012" width="12.5" style="263" customWidth="1"/>
    <col min="11013" max="11013" width="11.375" style="263" customWidth="1"/>
    <col min="11014" max="11014" width="2.125" style="263" customWidth="1"/>
    <col min="11015" max="11015" width="13.125" style="263" customWidth="1"/>
    <col min="11016" max="11016" width="13" style="263" customWidth="1"/>
    <col min="11017" max="11018" width="11.25" style="263" customWidth="1"/>
    <col min="11019" max="11264" width="9" style="263"/>
    <col min="11265" max="11265" width="7.25" style="263" customWidth="1"/>
    <col min="11266" max="11266" width="36.125" style="263" customWidth="1"/>
    <col min="11267" max="11268" width="12.5" style="263" customWidth="1"/>
    <col min="11269" max="11269" width="11.375" style="263" customWidth="1"/>
    <col min="11270" max="11270" width="2.125" style="263" customWidth="1"/>
    <col min="11271" max="11271" width="13.125" style="263" customWidth="1"/>
    <col min="11272" max="11272" width="13" style="263" customWidth="1"/>
    <col min="11273" max="11274" width="11.25" style="263" customWidth="1"/>
    <col min="11275" max="11520" width="9" style="263"/>
    <col min="11521" max="11521" width="7.25" style="263" customWidth="1"/>
    <col min="11522" max="11522" width="36.125" style="263" customWidth="1"/>
    <col min="11523" max="11524" width="12.5" style="263" customWidth="1"/>
    <col min="11525" max="11525" width="11.375" style="263" customWidth="1"/>
    <col min="11526" max="11526" width="2.125" style="263" customWidth="1"/>
    <col min="11527" max="11527" width="13.125" style="263" customWidth="1"/>
    <col min="11528" max="11528" width="13" style="263" customWidth="1"/>
    <col min="11529" max="11530" width="11.25" style="263" customWidth="1"/>
    <col min="11531" max="11776" width="9" style="263"/>
    <col min="11777" max="11777" width="7.25" style="263" customWidth="1"/>
    <col min="11778" max="11778" width="36.125" style="263" customWidth="1"/>
    <col min="11779" max="11780" width="12.5" style="263" customWidth="1"/>
    <col min="11781" max="11781" width="11.375" style="263" customWidth="1"/>
    <col min="11782" max="11782" width="2.125" style="263" customWidth="1"/>
    <col min="11783" max="11783" width="13.125" style="263" customWidth="1"/>
    <col min="11784" max="11784" width="13" style="263" customWidth="1"/>
    <col min="11785" max="11786" width="11.25" style="263" customWidth="1"/>
    <col min="11787" max="12032" width="9" style="263"/>
    <col min="12033" max="12033" width="7.25" style="263" customWidth="1"/>
    <col min="12034" max="12034" width="36.125" style="263" customWidth="1"/>
    <col min="12035" max="12036" width="12.5" style="263" customWidth="1"/>
    <col min="12037" max="12037" width="11.375" style="263" customWidth="1"/>
    <col min="12038" max="12038" width="2.125" style="263" customWidth="1"/>
    <col min="12039" max="12039" width="13.125" style="263" customWidth="1"/>
    <col min="12040" max="12040" width="13" style="263" customWidth="1"/>
    <col min="12041" max="12042" width="11.25" style="263" customWidth="1"/>
    <col min="12043" max="12288" width="9" style="263"/>
    <col min="12289" max="12289" width="7.25" style="263" customWidth="1"/>
    <col min="12290" max="12290" width="36.125" style="263" customWidth="1"/>
    <col min="12291" max="12292" width="12.5" style="263" customWidth="1"/>
    <col min="12293" max="12293" width="11.375" style="263" customWidth="1"/>
    <col min="12294" max="12294" width="2.125" style="263" customWidth="1"/>
    <col min="12295" max="12295" width="13.125" style="263" customWidth="1"/>
    <col min="12296" max="12296" width="13" style="263" customWidth="1"/>
    <col min="12297" max="12298" width="11.25" style="263" customWidth="1"/>
    <col min="12299" max="12544" width="9" style="263"/>
    <col min="12545" max="12545" width="7.25" style="263" customWidth="1"/>
    <col min="12546" max="12546" width="36.125" style="263" customWidth="1"/>
    <col min="12547" max="12548" width="12.5" style="263" customWidth="1"/>
    <col min="12549" max="12549" width="11.375" style="263" customWidth="1"/>
    <col min="12550" max="12550" width="2.125" style="263" customWidth="1"/>
    <col min="12551" max="12551" width="13.125" style="263" customWidth="1"/>
    <col min="12552" max="12552" width="13" style="263" customWidth="1"/>
    <col min="12553" max="12554" width="11.25" style="263" customWidth="1"/>
    <col min="12555" max="12800" width="9" style="263"/>
    <col min="12801" max="12801" width="7.25" style="263" customWidth="1"/>
    <col min="12802" max="12802" width="36.125" style="263" customWidth="1"/>
    <col min="12803" max="12804" width="12.5" style="263" customWidth="1"/>
    <col min="12805" max="12805" width="11.375" style="263" customWidth="1"/>
    <col min="12806" max="12806" width="2.125" style="263" customWidth="1"/>
    <col min="12807" max="12807" width="13.125" style="263" customWidth="1"/>
    <col min="12808" max="12808" width="13" style="263" customWidth="1"/>
    <col min="12809" max="12810" width="11.25" style="263" customWidth="1"/>
    <col min="12811" max="13056" width="9" style="263"/>
    <col min="13057" max="13057" width="7.25" style="263" customWidth="1"/>
    <col min="13058" max="13058" width="36.125" style="263" customWidth="1"/>
    <col min="13059" max="13060" width="12.5" style="263" customWidth="1"/>
    <col min="13061" max="13061" width="11.375" style="263" customWidth="1"/>
    <col min="13062" max="13062" width="2.125" style="263" customWidth="1"/>
    <col min="13063" max="13063" width="13.125" style="263" customWidth="1"/>
    <col min="13064" max="13064" width="13" style="263" customWidth="1"/>
    <col min="13065" max="13066" width="11.25" style="263" customWidth="1"/>
    <col min="13067" max="13312" width="9" style="263"/>
    <col min="13313" max="13313" width="7.25" style="263" customWidth="1"/>
    <col min="13314" max="13314" width="36.125" style="263" customWidth="1"/>
    <col min="13315" max="13316" width="12.5" style="263" customWidth="1"/>
    <col min="13317" max="13317" width="11.375" style="263" customWidth="1"/>
    <col min="13318" max="13318" width="2.125" style="263" customWidth="1"/>
    <col min="13319" max="13319" width="13.125" style="263" customWidth="1"/>
    <col min="13320" max="13320" width="13" style="263" customWidth="1"/>
    <col min="13321" max="13322" width="11.25" style="263" customWidth="1"/>
    <col min="13323" max="13568" width="9" style="263"/>
    <col min="13569" max="13569" width="7.25" style="263" customWidth="1"/>
    <col min="13570" max="13570" width="36.125" style="263" customWidth="1"/>
    <col min="13571" max="13572" width="12.5" style="263" customWidth="1"/>
    <col min="13573" max="13573" width="11.375" style="263" customWidth="1"/>
    <col min="13574" max="13574" width="2.125" style="263" customWidth="1"/>
    <col min="13575" max="13575" width="13.125" style="263" customWidth="1"/>
    <col min="13576" max="13576" width="13" style="263" customWidth="1"/>
    <col min="13577" max="13578" width="11.25" style="263" customWidth="1"/>
    <col min="13579" max="13824" width="9" style="263"/>
    <col min="13825" max="13825" width="7.25" style="263" customWidth="1"/>
    <col min="13826" max="13826" width="36.125" style="263" customWidth="1"/>
    <col min="13827" max="13828" width="12.5" style="263" customWidth="1"/>
    <col min="13829" max="13829" width="11.375" style="263" customWidth="1"/>
    <col min="13830" max="13830" width="2.125" style="263" customWidth="1"/>
    <col min="13831" max="13831" width="13.125" style="263" customWidth="1"/>
    <col min="13832" max="13832" width="13" style="263" customWidth="1"/>
    <col min="13833" max="13834" width="11.25" style="263" customWidth="1"/>
    <col min="13835" max="14080" width="9" style="263"/>
    <col min="14081" max="14081" width="7.25" style="263" customWidth="1"/>
    <col min="14082" max="14082" width="36.125" style="263" customWidth="1"/>
    <col min="14083" max="14084" width="12.5" style="263" customWidth="1"/>
    <col min="14085" max="14085" width="11.375" style="263" customWidth="1"/>
    <col min="14086" max="14086" width="2.125" style="263" customWidth="1"/>
    <col min="14087" max="14087" width="13.125" style="263" customWidth="1"/>
    <col min="14088" max="14088" width="13" style="263" customWidth="1"/>
    <col min="14089" max="14090" width="11.25" style="263" customWidth="1"/>
    <col min="14091" max="14336" width="9" style="263"/>
    <col min="14337" max="14337" width="7.25" style="263" customWidth="1"/>
    <col min="14338" max="14338" width="36.125" style="263" customWidth="1"/>
    <col min="14339" max="14340" width="12.5" style="263" customWidth="1"/>
    <col min="14341" max="14341" width="11.375" style="263" customWidth="1"/>
    <col min="14342" max="14342" width="2.125" style="263" customWidth="1"/>
    <col min="14343" max="14343" width="13.125" style="263" customWidth="1"/>
    <col min="14344" max="14344" width="13" style="263" customWidth="1"/>
    <col min="14345" max="14346" width="11.25" style="263" customWidth="1"/>
    <col min="14347" max="14592" width="9" style="263"/>
    <col min="14593" max="14593" width="7.25" style="263" customWidth="1"/>
    <col min="14594" max="14594" width="36.125" style="263" customWidth="1"/>
    <col min="14595" max="14596" width="12.5" style="263" customWidth="1"/>
    <col min="14597" max="14597" width="11.375" style="263" customWidth="1"/>
    <col min="14598" max="14598" width="2.125" style="263" customWidth="1"/>
    <col min="14599" max="14599" width="13.125" style="263" customWidth="1"/>
    <col min="14600" max="14600" width="13" style="263" customWidth="1"/>
    <col min="14601" max="14602" width="11.25" style="263" customWidth="1"/>
    <col min="14603" max="14848" width="9" style="263"/>
    <col min="14849" max="14849" width="7.25" style="263" customWidth="1"/>
    <col min="14850" max="14850" width="36.125" style="263" customWidth="1"/>
    <col min="14851" max="14852" width="12.5" style="263" customWidth="1"/>
    <col min="14853" max="14853" width="11.375" style="263" customWidth="1"/>
    <col min="14854" max="14854" width="2.125" style="263" customWidth="1"/>
    <col min="14855" max="14855" width="13.125" style="263" customWidth="1"/>
    <col min="14856" max="14856" width="13" style="263" customWidth="1"/>
    <col min="14857" max="14858" width="11.25" style="263" customWidth="1"/>
    <col min="14859" max="15104" width="9" style="263"/>
    <col min="15105" max="15105" width="7.25" style="263" customWidth="1"/>
    <col min="15106" max="15106" width="36.125" style="263" customWidth="1"/>
    <col min="15107" max="15108" width="12.5" style="263" customWidth="1"/>
    <col min="15109" max="15109" width="11.375" style="263" customWidth="1"/>
    <col min="15110" max="15110" width="2.125" style="263" customWidth="1"/>
    <col min="15111" max="15111" width="13.125" style="263" customWidth="1"/>
    <col min="15112" max="15112" width="13" style="263" customWidth="1"/>
    <col min="15113" max="15114" width="11.25" style="263" customWidth="1"/>
    <col min="15115" max="15360" width="9" style="263"/>
    <col min="15361" max="15361" width="7.25" style="263" customWidth="1"/>
    <col min="15362" max="15362" width="36.125" style="263" customWidth="1"/>
    <col min="15363" max="15364" width="12.5" style="263" customWidth="1"/>
    <col min="15365" max="15365" width="11.375" style="263" customWidth="1"/>
    <col min="15366" max="15366" width="2.125" style="263" customWidth="1"/>
    <col min="15367" max="15367" width="13.125" style="263" customWidth="1"/>
    <col min="15368" max="15368" width="13" style="263" customWidth="1"/>
    <col min="15369" max="15370" width="11.25" style="263" customWidth="1"/>
    <col min="15371" max="15616" width="9" style="263"/>
    <col min="15617" max="15617" width="7.25" style="263" customWidth="1"/>
    <col min="15618" max="15618" width="36.125" style="263" customWidth="1"/>
    <col min="15619" max="15620" width="12.5" style="263" customWidth="1"/>
    <col min="15621" max="15621" width="11.375" style="263" customWidth="1"/>
    <col min="15622" max="15622" width="2.125" style="263" customWidth="1"/>
    <col min="15623" max="15623" width="13.125" style="263" customWidth="1"/>
    <col min="15624" max="15624" width="13" style="263" customWidth="1"/>
    <col min="15625" max="15626" width="11.25" style="263" customWidth="1"/>
    <col min="15627" max="15872" width="9" style="263"/>
    <col min="15873" max="15873" width="7.25" style="263" customWidth="1"/>
    <col min="15874" max="15874" width="36.125" style="263" customWidth="1"/>
    <col min="15875" max="15876" width="12.5" style="263" customWidth="1"/>
    <col min="15877" max="15877" width="11.375" style="263" customWidth="1"/>
    <col min="15878" max="15878" width="2.125" style="263" customWidth="1"/>
    <col min="15879" max="15879" width="13.125" style="263" customWidth="1"/>
    <col min="15880" max="15880" width="13" style="263" customWidth="1"/>
    <col min="15881" max="15882" width="11.25" style="263" customWidth="1"/>
    <col min="15883" max="16128" width="9" style="263"/>
    <col min="16129" max="16129" width="7.25" style="263" customWidth="1"/>
    <col min="16130" max="16130" width="36.125" style="263" customWidth="1"/>
    <col min="16131" max="16132" width="12.5" style="263" customWidth="1"/>
    <col min="16133" max="16133" width="11.375" style="263" customWidth="1"/>
    <col min="16134" max="16134" width="2.125" style="263" customWidth="1"/>
    <col min="16135" max="16135" width="13.125" style="263" customWidth="1"/>
    <col min="16136" max="16136" width="13" style="263" customWidth="1"/>
    <col min="16137" max="16138" width="11.25" style="263" customWidth="1"/>
    <col min="16139" max="16384" width="9" style="263"/>
  </cols>
  <sheetData>
    <row r="1" spans="1:13" s="440" customFormat="1" ht="16.899999999999999" customHeight="1">
      <c r="A1" s="1102"/>
      <c r="B1" s="1102"/>
      <c r="C1" s="1102"/>
      <c r="D1" s="1102"/>
      <c r="E1" s="1102"/>
      <c r="F1" s="436"/>
      <c r="G1" s="437"/>
      <c r="H1" s="438"/>
      <c r="I1" s="439"/>
      <c r="J1" s="439"/>
      <c r="K1" s="439"/>
      <c r="L1" s="439"/>
      <c r="M1" s="439"/>
    </row>
    <row r="2" spans="1:13" s="440" customFormat="1" ht="37.9" customHeight="1">
      <c r="A2" s="1103" t="s">
        <v>621</v>
      </c>
      <c r="B2" s="1103"/>
      <c r="C2" s="1103"/>
      <c r="D2" s="1103"/>
      <c r="E2" s="1103"/>
      <c r="F2" s="436"/>
      <c r="G2" s="437"/>
      <c r="H2" s="438"/>
      <c r="I2" s="439"/>
      <c r="J2" s="439"/>
      <c r="K2" s="439"/>
      <c r="L2" s="439"/>
      <c r="M2" s="439"/>
    </row>
    <row r="3" spans="1:13" s="445" customFormat="1" ht="15">
      <c r="A3" s="1104"/>
      <c r="B3" s="1104"/>
      <c r="C3" s="1104"/>
      <c r="D3" s="1104"/>
      <c r="E3" s="1104"/>
      <c r="F3" s="441"/>
      <c r="G3" s="442"/>
      <c r="H3" s="443"/>
      <c r="I3" s="444"/>
      <c r="J3" s="444"/>
      <c r="K3" s="444"/>
      <c r="L3" s="444"/>
      <c r="M3" s="444"/>
    </row>
    <row r="4" spans="1:13" s="440" customFormat="1" ht="17.45" customHeight="1">
      <c r="A4" s="446" t="s">
        <v>622</v>
      </c>
      <c r="B4" s="446"/>
      <c r="C4" s="436"/>
      <c r="D4" s="447"/>
      <c r="E4" s="448" t="s">
        <v>15</v>
      </c>
      <c r="F4" s="449"/>
      <c r="G4" s="437"/>
      <c r="H4" s="438"/>
      <c r="I4" s="439"/>
      <c r="J4" s="439"/>
      <c r="K4" s="439"/>
      <c r="L4" s="439"/>
      <c r="M4" s="439"/>
    </row>
    <row r="5" spans="1:13" s="440" customFormat="1" ht="15" customHeight="1">
      <c r="A5" s="1007" t="s">
        <v>623</v>
      </c>
      <c r="B5" s="1007" t="s">
        <v>624</v>
      </c>
      <c r="C5" s="1007" t="s">
        <v>17</v>
      </c>
      <c r="D5" s="1105" t="s">
        <v>625</v>
      </c>
      <c r="E5" s="1105"/>
      <c r="F5" s="447"/>
      <c r="G5" s="437"/>
      <c r="H5" s="438"/>
      <c r="I5" s="439"/>
      <c r="J5" s="439"/>
      <c r="K5" s="439"/>
      <c r="L5" s="439"/>
      <c r="M5" s="439"/>
    </row>
    <row r="6" spans="1:13" s="440" customFormat="1" ht="29.25" customHeight="1">
      <c r="A6" s="1007"/>
      <c r="B6" s="1007"/>
      <c r="C6" s="1007"/>
      <c r="D6" s="681" t="s">
        <v>626</v>
      </c>
      <c r="E6" s="681" t="s">
        <v>627</v>
      </c>
      <c r="F6" s="450"/>
      <c r="G6" s="437"/>
      <c r="H6" s="438"/>
      <c r="I6" s="439"/>
      <c r="J6" s="439"/>
      <c r="K6" s="439"/>
      <c r="L6" s="451"/>
      <c r="M6" s="451"/>
    </row>
    <row r="7" spans="1:13" s="440" customFormat="1" ht="16.5" customHeight="1">
      <c r="A7" s="312">
        <v>1</v>
      </c>
      <c r="B7" s="312">
        <v>2</v>
      </c>
      <c r="C7" s="312">
        <v>3</v>
      </c>
      <c r="D7" s="312" t="s">
        <v>586</v>
      </c>
      <c r="E7" s="312" t="s">
        <v>587</v>
      </c>
      <c r="F7" s="313"/>
      <c r="G7" s="437"/>
      <c r="H7" s="438"/>
      <c r="I7" s="439"/>
      <c r="J7" s="439"/>
      <c r="K7" s="439"/>
      <c r="L7" s="451"/>
      <c r="M7" s="451"/>
    </row>
    <row r="8" spans="1:13" s="440" customFormat="1" ht="9.9499999999999993" customHeight="1">
      <c r="A8" s="343"/>
      <c r="B8" s="343"/>
      <c r="C8" s="343"/>
      <c r="D8" s="343"/>
      <c r="E8" s="343"/>
      <c r="F8" s="450"/>
      <c r="G8" s="437"/>
      <c r="H8" s="438"/>
      <c r="I8" s="439"/>
      <c r="J8" s="439"/>
      <c r="K8" s="439"/>
      <c r="L8" s="451"/>
      <c r="M8" s="451"/>
    </row>
    <row r="9" spans="1:13" s="458" customFormat="1">
      <c r="A9" s="343"/>
      <c r="B9" s="336" t="s">
        <v>316</v>
      </c>
      <c r="C9" s="452">
        <f>C11+C17+C23+C29</f>
        <v>122000</v>
      </c>
      <c r="D9" s="452">
        <f>D11+D17+D23+D29</f>
        <v>115900</v>
      </c>
      <c r="E9" s="452">
        <f>E11+E17+E23+E29</f>
        <v>6100</v>
      </c>
      <c r="F9" s="453"/>
      <c r="G9" s="454"/>
      <c r="H9" s="455"/>
      <c r="I9" s="456"/>
      <c r="J9" s="456"/>
      <c r="K9" s="456"/>
      <c r="L9" s="457"/>
      <c r="M9" s="457"/>
    </row>
    <row r="10" spans="1:13" s="458" customFormat="1" ht="9.9499999999999993" customHeight="1">
      <c r="A10" s="459"/>
      <c r="B10" s="336"/>
      <c r="C10" s="452"/>
      <c r="D10" s="452"/>
      <c r="E10" s="452"/>
      <c r="F10" s="453"/>
      <c r="G10" s="454"/>
      <c r="H10" s="455"/>
      <c r="I10" s="456"/>
      <c r="J10" s="456"/>
      <c r="K10" s="456"/>
      <c r="L10" s="457"/>
      <c r="M10" s="457"/>
    </row>
    <row r="11" spans="1:13" s="458" customFormat="1">
      <c r="A11" s="459" t="s">
        <v>23</v>
      </c>
      <c r="B11" s="336" t="s">
        <v>24</v>
      </c>
      <c r="C11" s="452">
        <f>C13</f>
        <v>75000</v>
      </c>
      <c r="D11" s="452">
        <f>D13</f>
        <v>71250</v>
      </c>
      <c r="E11" s="452">
        <f>E13</f>
        <v>3750</v>
      </c>
      <c r="F11" s="453"/>
      <c r="G11" s="454"/>
      <c r="H11" s="455"/>
      <c r="I11" s="456"/>
      <c r="J11" s="456"/>
      <c r="K11" s="456"/>
      <c r="L11" s="457"/>
      <c r="M11" s="457"/>
    </row>
    <row r="12" spans="1:13" s="458" customFormat="1" ht="9.9499999999999993" customHeight="1">
      <c r="A12" s="459"/>
      <c r="B12" s="336"/>
      <c r="C12" s="452"/>
      <c r="D12" s="452"/>
      <c r="E12" s="452"/>
      <c r="F12" s="453"/>
      <c r="G12" s="454"/>
      <c r="H12" s="455"/>
      <c r="I12" s="456"/>
      <c r="J12" s="456"/>
      <c r="K12" s="456"/>
      <c r="L12" s="457"/>
      <c r="M12" s="457"/>
    </row>
    <row r="13" spans="1:13" s="458" customFormat="1" ht="25.5">
      <c r="A13" s="460" t="s">
        <v>335</v>
      </c>
      <c r="B13" s="461" t="s">
        <v>628</v>
      </c>
      <c r="C13" s="462">
        <f>C15</f>
        <v>75000</v>
      </c>
      <c r="D13" s="462">
        <f>D15</f>
        <v>71250</v>
      </c>
      <c r="E13" s="462">
        <f>E15</f>
        <v>3750</v>
      </c>
      <c r="F13" s="463"/>
      <c r="G13" s="454"/>
      <c r="H13" s="455"/>
      <c r="I13" s="456"/>
      <c r="J13" s="456"/>
      <c r="K13" s="456"/>
      <c r="L13" s="457"/>
      <c r="M13" s="457"/>
    </row>
    <row r="14" spans="1:13" s="458" customFormat="1" ht="9.9499999999999993" customHeight="1">
      <c r="A14" s="460"/>
      <c r="B14" s="461"/>
      <c r="C14" s="462"/>
      <c r="D14" s="464"/>
      <c r="E14" s="464"/>
      <c r="F14" s="465"/>
      <c r="G14" s="454"/>
      <c r="H14" s="455"/>
      <c r="I14" s="456"/>
      <c r="J14" s="456"/>
      <c r="K14" s="456"/>
      <c r="L14" s="457"/>
      <c r="M14" s="457"/>
    </row>
    <row r="15" spans="1:13" s="440" customFormat="1">
      <c r="A15" s="466" t="s">
        <v>47</v>
      </c>
      <c r="B15" s="331" t="s">
        <v>48</v>
      </c>
      <c r="C15" s="467">
        <f>D15+E15</f>
        <v>75000</v>
      </c>
      <c r="D15" s="467">
        <v>71250</v>
      </c>
      <c r="E15" s="467">
        <v>3750</v>
      </c>
      <c r="F15" s="468"/>
      <c r="G15" s="437"/>
      <c r="H15" s="438"/>
      <c r="I15" s="439"/>
      <c r="J15" s="439"/>
      <c r="K15" s="439"/>
      <c r="L15" s="451"/>
      <c r="M15" s="451"/>
    </row>
    <row r="16" spans="1:13" s="440" customFormat="1" ht="9.9499999999999993" customHeight="1">
      <c r="A16" s="466"/>
      <c r="B16" s="331"/>
      <c r="C16" s="467"/>
      <c r="D16" s="467"/>
      <c r="E16" s="467"/>
      <c r="F16" s="468"/>
      <c r="G16" s="437"/>
      <c r="H16" s="438"/>
      <c r="I16" s="439"/>
      <c r="J16" s="439"/>
      <c r="K16" s="439"/>
      <c r="L16" s="451"/>
      <c r="M16" s="451"/>
    </row>
    <row r="17" spans="1:13" s="458" customFormat="1">
      <c r="A17" s="459" t="s">
        <v>55</v>
      </c>
      <c r="B17" s="336" t="s">
        <v>56</v>
      </c>
      <c r="C17" s="452">
        <f>C19</f>
        <v>8000</v>
      </c>
      <c r="D17" s="452">
        <f>D19</f>
        <v>7600</v>
      </c>
      <c r="E17" s="452">
        <f>E19</f>
        <v>400</v>
      </c>
      <c r="F17" s="453"/>
      <c r="G17" s="454"/>
      <c r="H17" s="455"/>
      <c r="I17" s="456"/>
      <c r="J17" s="456"/>
      <c r="K17" s="456"/>
      <c r="L17" s="457"/>
      <c r="M17" s="457"/>
    </row>
    <row r="18" spans="1:13" s="458" customFormat="1" ht="9.9499999999999993" customHeight="1">
      <c r="A18" s="459"/>
      <c r="B18" s="336"/>
      <c r="C18" s="452"/>
      <c r="D18" s="452"/>
      <c r="E18" s="452"/>
      <c r="F18" s="453"/>
      <c r="G18" s="454"/>
      <c r="H18" s="455"/>
      <c r="I18" s="456"/>
      <c r="J18" s="456"/>
      <c r="K18" s="456"/>
      <c r="L18" s="457"/>
      <c r="M18" s="457"/>
    </row>
    <row r="19" spans="1:13" s="458" customFormat="1" ht="25.5">
      <c r="A19" s="460" t="s">
        <v>336</v>
      </c>
      <c r="B19" s="461" t="s">
        <v>629</v>
      </c>
      <c r="C19" s="462">
        <f>C21</f>
        <v>8000</v>
      </c>
      <c r="D19" s="462">
        <f>D21</f>
        <v>7600</v>
      </c>
      <c r="E19" s="462">
        <f>E21</f>
        <v>400</v>
      </c>
      <c r="F19" s="463"/>
      <c r="G19" s="454"/>
      <c r="H19" s="455"/>
      <c r="I19" s="456"/>
      <c r="J19" s="456"/>
      <c r="K19" s="456"/>
      <c r="L19" s="457"/>
      <c r="M19" s="457"/>
    </row>
    <row r="20" spans="1:13" s="458" customFormat="1" ht="9.9499999999999993" customHeight="1">
      <c r="A20" s="460"/>
      <c r="B20" s="461"/>
      <c r="C20" s="462"/>
      <c r="D20" s="464"/>
      <c r="E20" s="464"/>
      <c r="F20" s="465"/>
      <c r="G20" s="454"/>
      <c r="H20" s="455"/>
      <c r="I20" s="456"/>
      <c r="J20" s="456"/>
      <c r="K20" s="456"/>
      <c r="L20" s="457"/>
      <c r="M20" s="457"/>
    </row>
    <row r="21" spans="1:13" s="440" customFormat="1">
      <c r="A21" s="466" t="s">
        <v>47</v>
      </c>
      <c r="B21" s="331" t="s">
        <v>48</v>
      </c>
      <c r="C21" s="467">
        <f>D21+E21</f>
        <v>8000</v>
      </c>
      <c r="D21" s="467">
        <v>7600</v>
      </c>
      <c r="E21" s="467">
        <v>400</v>
      </c>
      <c r="F21" s="468"/>
      <c r="G21" s="437"/>
      <c r="H21" s="438"/>
      <c r="I21" s="439"/>
      <c r="J21" s="439"/>
      <c r="K21" s="439"/>
      <c r="L21" s="451"/>
      <c r="M21" s="451"/>
    </row>
    <row r="22" spans="1:13" s="440" customFormat="1" ht="9.9499999999999993" customHeight="1">
      <c r="A22" s="466"/>
      <c r="B22" s="331"/>
      <c r="C22" s="467"/>
      <c r="D22" s="467"/>
      <c r="E22" s="467"/>
      <c r="F22" s="468"/>
      <c r="G22" s="437"/>
      <c r="H22" s="438"/>
      <c r="I22" s="439"/>
      <c r="J22" s="439"/>
      <c r="K22" s="439"/>
      <c r="L22" s="451"/>
      <c r="M22" s="451"/>
    </row>
    <row r="23" spans="1:13" s="458" customFormat="1">
      <c r="A23" s="459" t="s">
        <v>27</v>
      </c>
      <c r="B23" s="336" t="s">
        <v>28</v>
      </c>
      <c r="C23" s="452">
        <f>C25</f>
        <v>30000</v>
      </c>
      <c r="D23" s="452">
        <f>D25</f>
        <v>28500</v>
      </c>
      <c r="E23" s="452">
        <f>E25</f>
        <v>1500</v>
      </c>
      <c r="F23" s="453"/>
      <c r="G23" s="454"/>
      <c r="H23" s="455"/>
      <c r="I23" s="456"/>
      <c r="J23" s="456"/>
      <c r="K23" s="456"/>
      <c r="L23" s="457"/>
      <c r="M23" s="457"/>
    </row>
    <row r="24" spans="1:13" s="440" customFormat="1" ht="9.9499999999999993" customHeight="1">
      <c r="A24" s="466"/>
      <c r="B24" s="331"/>
      <c r="C24" s="467"/>
      <c r="D24" s="467"/>
      <c r="E24" s="467"/>
      <c r="F24" s="468"/>
      <c r="G24" s="437"/>
      <c r="H24" s="438"/>
      <c r="I24" s="439"/>
      <c r="J24" s="439"/>
      <c r="K24" s="439"/>
      <c r="L24" s="451"/>
      <c r="M24" s="451"/>
    </row>
    <row r="25" spans="1:13" s="458" customFormat="1" ht="25.5">
      <c r="A25" s="460" t="s">
        <v>341</v>
      </c>
      <c r="B25" s="461" t="s">
        <v>630</v>
      </c>
      <c r="C25" s="462">
        <f>C27</f>
        <v>30000</v>
      </c>
      <c r="D25" s="462">
        <f>D27</f>
        <v>28500</v>
      </c>
      <c r="E25" s="462">
        <f>E27</f>
        <v>1500</v>
      </c>
      <c r="F25" s="463"/>
      <c r="G25" s="454"/>
      <c r="H25" s="455"/>
      <c r="I25" s="456"/>
      <c r="J25" s="456"/>
      <c r="K25" s="456"/>
      <c r="L25" s="457"/>
      <c r="M25" s="457"/>
    </row>
    <row r="26" spans="1:13" s="458" customFormat="1" ht="9.9499999999999993" customHeight="1">
      <c r="A26" s="460"/>
      <c r="B26" s="461"/>
      <c r="C26" s="462"/>
      <c r="D26" s="464"/>
      <c r="E26" s="464"/>
      <c r="F26" s="465"/>
      <c r="G26" s="454"/>
      <c r="H26" s="455"/>
      <c r="I26" s="456"/>
      <c r="J26" s="456"/>
      <c r="K26" s="456"/>
      <c r="L26" s="457"/>
      <c r="M26" s="457"/>
    </row>
    <row r="27" spans="1:13" s="440" customFormat="1">
      <c r="A27" s="466" t="s">
        <v>4</v>
      </c>
      <c r="B27" s="331" t="s">
        <v>5</v>
      </c>
      <c r="C27" s="467">
        <f>D27+E27</f>
        <v>30000</v>
      </c>
      <c r="D27" s="467">
        <v>28500</v>
      </c>
      <c r="E27" s="467">
        <v>1500</v>
      </c>
      <c r="F27" s="468"/>
      <c r="G27" s="437"/>
      <c r="H27" s="438"/>
      <c r="I27" s="439"/>
      <c r="J27" s="439"/>
      <c r="K27" s="439"/>
      <c r="L27" s="451"/>
      <c r="M27" s="451"/>
    </row>
    <row r="28" spans="1:13" s="440" customFormat="1" ht="9.9499999999999993" customHeight="1">
      <c r="A28" s="466"/>
      <c r="B28" s="331"/>
      <c r="C28" s="467"/>
      <c r="D28" s="467"/>
      <c r="E28" s="467"/>
      <c r="F28" s="468"/>
      <c r="G28" s="437"/>
      <c r="H28" s="438"/>
      <c r="I28" s="439"/>
      <c r="J28" s="439"/>
      <c r="K28" s="439"/>
      <c r="L28" s="451"/>
      <c r="M28" s="451"/>
    </row>
    <row r="29" spans="1:13" s="458" customFormat="1">
      <c r="A29" s="459" t="s">
        <v>29</v>
      </c>
      <c r="B29" s="336" t="s">
        <v>30</v>
      </c>
      <c r="C29" s="452">
        <f>C31</f>
        <v>9000</v>
      </c>
      <c r="D29" s="452">
        <f>D31</f>
        <v>8550</v>
      </c>
      <c r="E29" s="452">
        <f>E31</f>
        <v>450</v>
      </c>
      <c r="F29" s="453"/>
      <c r="G29" s="454"/>
      <c r="H29" s="455"/>
      <c r="I29" s="456"/>
      <c r="J29" s="456"/>
      <c r="K29" s="456"/>
      <c r="L29" s="457"/>
      <c r="M29" s="457"/>
    </row>
    <row r="30" spans="1:13" s="440" customFormat="1" ht="9.9499999999999993" customHeight="1">
      <c r="A30" s="466"/>
      <c r="B30" s="331"/>
      <c r="C30" s="467"/>
      <c r="D30" s="467"/>
      <c r="E30" s="467"/>
      <c r="F30" s="468"/>
      <c r="G30" s="437"/>
      <c r="H30" s="438"/>
      <c r="I30" s="439"/>
      <c r="J30" s="439"/>
      <c r="K30" s="439"/>
      <c r="L30" s="451"/>
      <c r="M30" s="451"/>
    </row>
    <row r="31" spans="1:13" s="458" customFormat="1" ht="25.5">
      <c r="A31" s="460" t="s">
        <v>631</v>
      </c>
      <c r="B31" s="461" t="s">
        <v>632</v>
      </c>
      <c r="C31" s="462">
        <f>C33</f>
        <v>9000</v>
      </c>
      <c r="D31" s="462">
        <f>D33</f>
        <v>8550</v>
      </c>
      <c r="E31" s="462">
        <f>E33</f>
        <v>450</v>
      </c>
      <c r="F31" s="463"/>
      <c r="G31" s="454"/>
      <c r="H31" s="455"/>
      <c r="I31" s="456"/>
      <c r="J31" s="456"/>
      <c r="K31" s="456"/>
      <c r="L31" s="457"/>
      <c r="M31" s="457"/>
    </row>
    <row r="32" spans="1:13" s="458" customFormat="1" ht="9.9499999999999993" customHeight="1">
      <c r="A32" s="460"/>
      <c r="B32" s="461"/>
      <c r="C32" s="462"/>
      <c r="D32" s="464"/>
      <c r="E32" s="464"/>
      <c r="F32" s="465"/>
      <c r="G32" s="454"/>
      <c r="H32" s="455"/>
      <c r="I32" s="456"/>
      <c r="J32" s="456"/>
      <c r="K32" s="456"/>
      <c r="L32" s="457"/>
      <c r="M32" s="457"/>
    </row>
    <row r="33" spans="1:13" s="440" customFormat="1">
      <c r="A33" s="466" t="s">
        <v>47</v>
      </c>
      <c r="B33" s="331" t="s">
        <v>48</v>
      </c>
      <c r="C33" s="467">
        <f>D33+E33</f>
        <v>9000</v>
      </c>
      <c r="D33" s="467">
        <v>8550</v>
      </c>
      <c r="E33" s="467">
        <v>450</v>
      </c>
      <c r="F33" s="468"/>
      <c r="G33" s="437"/>
      <c r="H33" s="438"/>
      <c r="I33" s="439"/>
      <c r="J33" s="439"/>
      <c r="K33" s="439"/>
      <c r="L33" s="451"/>
      <c r="M33" s="451"/>
    </row>
    <row r="34" spans="1:13" s="440" customFormat="1" ht="9.9499999999999993" customHeight="1">
      <c r="A34" s="466"/>
      <c r="B34" s="331"/>
      <c r="C34" s="467"/>
      <c r="D34" s="467"/>
      <c r="E34" s="467"/>
      <c r="F34" s="468"/>
      <c r="G34" s="437"/>
      <c r="H34" s="438"/>
      <c r="I34" s="439"/>
      <c r="J34" s="439"/>
      <c r="K34" s="439"/>
      <c r="L34" s="451"/>
      <c r="M34" s="451"/>
    </row>
  </sheetData>
  <sheetProtection algorithmName="SHA-512" hashValue="/jg/gf7B/GLT7Hbp0s23Q3YIlCACZ25NicE3hX/M3V6gC+sawtE/6Cmdqgcll4pDz0q43w5HJJdTOJ4MKUbHgg==" saltValue="WTtD+LJNElrxW++mhYKKGQ==" spinCount="100000" sheet="1" objects="1" scenarios="1"/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4"/>
  <sheetViews>
    <sheetView view="pageBreakPreview" zoomScaleNormal="100" workbookViewId="0">
      <selection activeCell="D18" sqref="D18"/>
    </sheetView>
  </sheetViews>
  <sheetFormatPr defaultColWidth="8" defaultRowHeight="12.75"/>
  <cols>
    <col min="1" max="1" width="5.375" style="787" customWidth="1"/>
    <col min="2" max="2" width="7.625" style="787" customWidth="1"/>
    <col min="3" max="3" width="16" style="783" customWidth="1"/>
    <col min="4" max="4" width="34.625" style="783" customWidth="1"/>
    <col min="5" max="5" width="12.875" style="784" customWidth="1"/>
    <col min="6" max="6" width="14.375" style="783" customWidth="1"/>
    <col min="7" max="7" width="8.25" style="783" bestFit="1" customWidth="1"/>
    <col min="8" max="16384" width="8" style="4"/>
  </cols>
  <sheetData>
    <row r="1" spans="1:7" ht="15" customHeight="1">
      <c r="C1" s="789"/>
      <c r="D1" s="789"/>
      <c r="E1" s="1109" t="s">
        <v>1081</v>
      </c>
      <c r="F1" s="1109"/>
    </row>
    <row r="2" spans="1:7" ht="15" customHeight="1">
      <c r="C2" s="789"/>
      <c r="D2" s="789"/>
      <c r="E2" s="1110" t="s">
        <v>1082</v>
      </c>
      <c r="F2" s="1110"/>
    </row>
    <row r="3" spans="1:7" ht="15.75" customHeight="1">
      <c r="E3" s="1110" t="s">
        <v>1083</v>
      </c>
      <c r="F3" s="1110"/>
    </row>
    <row r="4" spans="1:7" ht="16.5" customHeight="1">
      <c r="E4" s="789"/>
      <c r="F4" s="789"/>
    </row>
    <row r="5" spans="1:7" ht="16.5" customHeight="1">
      <c r="E5" s="789"/>
      <c r="F5" s="789"/>
    </row>
    <row r="6" spans="1:7" ht="11.25" customHeight="1">
      <c r="E6" s="789"/>
      <c r="F6" s="789"/>
    </row>
    <row r="7" spans="1:7" ht="18" customHeight="1">
      <c r="A7" s="1028" t="s">
        <v>1084</v>
      </c>
      <c r="B7" s="1028"/>
      <c r="C7" s="1028"/>
      <c r="D7" s="1028"/>
      <c r="E7" s="1028"/>
      <c r="F7" s="1028"/>
    </row>
    <row r="8" spans="1:7" ht="18" customHeight="1">
      <c r="A8" s="1028" t="s">
        <v>1085</v>
      </c>
      <c r="B8" s="1028"/>
      <c r="C8" s="1028"/>
      <c r="D8" s="1028"/>
      <c r="E8" s="1028"/>
      <c r="F8" s="1028"/>
    </row>
    <row r="9" spans="1:7" ht="16.5" customHeight="1">
      <c r="A9" s="1028" t="s">
        <v>277</v>
      </c>
      <c r="B9" s="1028"/>
      <c r="C9" s="1028"/>
      <c r="D9" s="1028"/>
      <c r="E9" s="1028"/>
      <c r="F9" s="1028"/>
    </row>
    <row r="10" spans="1:7" ht="16.5" customHeight="1">
      <c r="E10" s="789"/>
      <c r="F10" s="789"/>
    </row>
    <row r="11" spans="1:7" ht="16.5" customHeight="1">
      <c r="E11" s="789"/>
      <c r="F11" s="789"/>
    </row>
    <row r="12" spans="1:7" ht="11.25" customHeight="1">
      <c r="E12" s="789"/>
      <c r="F12" s="790" t="s">
        <v>15</v>
      </c>
    </row>
    <row r="13" spans="1:7" s="700" customFormat="1" ht="25.5" customHeight="1">
      <c r="A13" s="1111" t="s">
        <v>99</v>
      </c>
      <c r="B13" s="1111" t="s">
        <v>918</v>
      </c>
      <c r="C13" s="1113" t="s">
        <v>581</v>
      </c>
      <c r="D13" s="1114"/>
      <c r="E13" s="1115" t="s">
        <v>1086</v>
      </c>
      <c r="F13" s="1117" t="s">
        <v>1087</v>
      </c>
      <c r="G13" s="791"/>
    </row>
    <row r="14" spans="1:7" s="700" customFormat="1" ht="29.25" customHeight="1">
      <c r="A14" s="1112"/>
      <c r="B14" s="1112"/>
      <c r="C14" s="792" t="s">
        <v>1088</v>
      </c>
      <c r="D14" s="792" t="s">
        <v>1089</v>
      </c>
      <c r="E14" s="1116"/>
      <c r="F14" s="1118"/>
      <c r="G14" s="791"/>
    </row>
    <row r="15" spans="1:7" s="720" customFormat="1" ht="11.25">
      <c r="A15" s="793">
        <v>1</v>
      </c>
      <c r="B15" s="793">
        <v>2</v>
      </c>
      <c r="C15" s="794">
        <v>3</v>
      </c>
      <c r="D15" s="794">
        <v>4</v>
      </c>
      <c r="E15" s="795">
        <v>5</v>
      </c>
      <c r="F15" s="794">
        <v>6</v>
      </c>
      <c r="G15" s="721"/>
    </row>
    <row r="16" spans="1:7" s="797" customFormat="1" ht="22.5" customHeight="1">
      <c r="A16" s="1106" t="s">
        <v>316</v>
      </c>
      <c r="B16" s="1107"/>
      <c r="C16" s="1107"/>
      <c r="D16" s="1108"/>
      <c r="E16" s="796">
        <f>SUM(E17:E22)</f>
        <v>10452000</v>
      </c>
      <c r="F16" s="796">
        <f>SUM(F17:F22)</f>
        <v>10452000</v>
      </c>
    </row>
    <row r="17" spans="1:7" s="754" customFormat="1" ht="34.5" customHeight="1">
      <c r="A17" s="798" t="s">
        <v>61</v>
      </c>
      <c r="B17" s="798" t="s">
        <v>63</v>
      </c>
      <c r="C17" s="799" t="s">
        <v>1090</v>
      </c>
      <c r="D17" s="800" t="s">
        <v>1091</v>
      </c>
      <c r="E17" s="801">
        <v>7100000</v>
      </c>
      <c r="F17" s="802">
        <v>7100000</v>
      </c>
      <c r="G17" s="803"/>
    </row>
    <row r="18" spans="1:7" s="754" customFormat="1" ht="70.5" customHeight="1">
      <c r="A18" s="804"/>
      <c r="B18" s="804"/>
      <c r="C18" s="799" t="s">
        <v>1090</v>
      </c>
      <c r="D18" s="800" t="s">
        <v>1092</v>
      </c>
      <c r="E18" s="801">
        <v>70000</v>
      </c>
      <c r="F18" s="802">
        <v>70000</v>
      </c>
      <c r="G18" s="803"/>
    </row>
    <row r="19" spans="1:7" s="754" customFormat="1" ht="70.5" customHeight="1">
      <c r="A19" s="805"/>
      <c r="B19" s="805"/>
      <c r="C19" s="799" t="s">
        <v>1090</v>
      </c>
      <c r="D19" s="800" t="s">
        <v>1093</v>
      </c>
      <c r="E19" s="801">
        <v>1000000</v>
      </c>
      <c r="F19" s="802">
        <v>1000000</v>
      </c>
      <c r="G19" s="803"/>
    </row>
    <row r="20" spans="1:7" s="754" customFormat="1" ht="30.75" customHeight="1">
      <c r="A20" s="806" t="s">
        <v>21</v>
      </c>
      <c r="B20" s="806" t="s">
        <v>66</v>
      </c>
      <c r="C20" s="799" t="s">
        <v>1090</v>
      </c>
      <c r="D20" s="800" t="s">
        <v>900</v>
      </c>
      <c r="E20" s="801">
        <v>60000</v>
      </c>
      <c r="F20" s="802">
        <v>60000</v>
      </c>
      <c r="G20" s="803"/>
    </row>
    <row r="21" spans="1:7" s="754" customFormat="1" ht="28.5" customHeight="1">
      <c r="A21" s="798" t="s">
        <v>29</v>
      </c>
      <c r="B21" s="798" t="s">
        <v>358</v>
      </c>
      <c r="C21" s="799" t="s">
        <v>1094</v>
      </c>
      <c r="D21" s="800" t="s">
        <v>1095</v>
      </c>
      <c r="E21" s="801">
        <v>1560000</v>
      </c>
      <c r="F21" s="802">
        <v>1560000</v>
      </c>
      <c r="G21" s="803"/>
    </row>
    <row r="22" spans="1:7" s="754" customFormat="1" ht="34.5" customHeight="1">
      <c r="A22" s="806" t="s">
        <v>33</v>
      </c>
      <c r="B22" s="806" t="s">
        <v>381</v>
      </c>
      <c r="C22" s="799" t="s">
        <v>1090</v>
      </c>
      <c r="D22" s="800" t="s">
        <v>1096</v>
      </c>
      <c r="E22" s="801">
        <v>662000</v>
      </c>
      <c r="F22" s="802">
        <v>662000</v>
      </c>
      <c r="G22" s="803"/>
    </row>
    <row r="23" spans="1:7" s="807" customFormat="1" ht="27" customHeight="1">
      <c r="A23" s="787"/>
      <c r="B23" s="787"/>
      <c r="C23" s="783"/>
      <c r="D23" s="783"/>
      <c r="E23" s="784"/>
      <c r="F23" s="699"/>
      <c r="G23" s="699"/>
    </row>
    <row r="24" spans="1:7" ht="27" customHeight="1"/>
    <row r="25" spans="1:7" s="808" customFormat="1" ht="24.75" customHeight="1">
      <c r="A25" s="787"/>
      <c r="B25" s="787"/>
      <c r="C25" s="783"/>
      <c r="D25" s="783"/>
      <c r="E25" s="784"/>
      <c r="F25" s="782"/>
      <c r="G25" s="782"/>
    </row>
    <row r="26" spans="1:7" ht="30" customHeight="1"/>
    <row r="27" spans="1:7" ht="30" customHeight="1"/>
    <row r="28" spans="1:7" s="786" customFormat="1" ht="22.5" customHeight="1">
      <c r="A28" s="787"/>
      <c r="B28" s="787"/>
      <c r="C28" s="783"/>
      <c r="D28" s="783"/>
      <c r="E28" s="784"/>
      <c r="F28" s="809"/>
      <c r="G28" s="809"/>
    </row>
    <row r="29" spans="1:7" ht="30" customHeight="1"/>
    <row r="30" spans="1:7" ht="28.5" customHeight="1"/>
    <row r="31" spans="1:7" s="807" customFormat="1" ht="24.75" customHeight="1">
      <c r="A31" s="787"/>
      <c r="B31" s="787"/>
      <c r="C31" s="783"/>
      <c r="D31" s="783"/>
      <c r="E31" s="784"/>
      <c r="F31" s="699"/>
      <c r="G31" s="699"/>
    </row>
    <row r="32" spans="1:7" ht="24.75" customHeight="1"/>
    <row r="33" spans="1:7" s="808" customFormat="1" ht="21" customHeight="1">
      <c r="A33" s="787"/>
      <c r="B33" s="787"/>
      <c r="C33" s="783"/>
      <c r="D33" s="783"/>
      <c r="E33" s="784"/>
      <c r="F33" s="782"/>
      <c r="G33" s="782"/>
    </row>
    <row r="35" spans="1:7" ht="9" customHeight="1"/>
    <row r="36" spans="1:7" s="752" customFormat="1" ht="35.25" customHeight="1">
      <c r="A36" s="787"/>
      <c r="B36" s="787"/>
      <c r="C36" s="783"/>
      <c r="D36" s="783"/>
      <c r="E36" s="784"/>
    </row>
    <row r="37" spans="1:7" s="807" customFormat="1" ht="22.5" customHeight="1">
      <c r="A37" s="787"/>
      <c r="B37" s="787"/>
      <c r="C37" s="783"/>
      <c r="D37" s="783"/>
      <c r="E37" s="784"/>
      <c r="F37" s="699"/>
      <c r="G37" s="699"/>
    </row>
    <row r="38" spans="1:7" ht="41.25" customHeight="1"/>
    <row r="39" spans="1:7" s="752" customFormat="1" ht="21.75" customHeight="1">
      <c r="A39" s="787"/>
      <c r="B39" s="787"/>
      <c r="C39" s="783"/>
      <c r="D39" s="783"/>
      <c r="E39" s="784"/>
    </row>
    <row r="40" spans="1:7" ht="21.75" customHeight="1">
      <c r="F40" s="4"/>
      <c r="G40" s="4"/>
    </row>
    <row r="41" spans="1:7" ht="24.75" customHeight="1">
      <c r="F41" s="4"/>
      <c r="G41" s="4"/>
    </row>
    <row r="42" spans="1:7" ht="12" customHeight="1">
      <c r="F42" s="4"/>
      <c r="G42" s="4"/>
    </row>
    <row r="43" spans="1:7" s="810" customFormat="1" ht="30.75" customHeight="1">
      <c r="A43" s="787"/>
      <c r="B43" s="787"/>
      <c r="C43" s="783"/>
      <c r="D43" s="783"/>
      <c r="E43" s="784"/>
    </row>
    <row r="44" spans="1:7" s="752" customFormat="1" ht="21.75" customHeight="1">
      <c r="A44" s="787"/>
      <c r="B44" s="787"/>
      <c r="C44" s="783"/>
      <c r="D44" s="783"/>
      <c r="E44" s="784"/>
    </row>
    <row r="45" spans="1:7" s="811" customFormat="1" ht="21.75" customHeight="1">
      <c r="A45" s="787"/>
      <c r="B45" s="787"/>
      <c r="C45" s="783"/>
      <c r="D45" s="783"/>
      <c r="E45" s="784"/>
    </row>
    <row r="46" spans="1:7" s="811" customFormat="1" ht="21.75" customHeight="1">
      <c r="A46" s="787"/>
      <c r="B46" s="787"/>
      <c r="C46" s="783"/>
      <c r="D46" s="783"/>
      <c r="E46" s="784"/>
    </row>
    <row r="48" spans="1:7" s="700" customFormat="1" ht="24" customHeight="1">
      <c r="A48" s="787"/>
      <c r="B48" s="787"/>
      <c r="C48" s="783"/>
      <c r="D48" s="783"/>
      <c r="E48" s="784"/>
      <c r="F48" s="791"/>
      <c r="G48" s="791"/>
    </row>
    <row r="49" spans="1:7" s="700" customFormat="1" ht="24" customHeight="1">
      <c r="A49" s="787"/>
      <c r="B49" s="787"/>
      <c r="C49" s="783"/>
      <c r="D49" s="783"/>
      <c r="E49" s="784"/>
      <c r="F49" s="791"/>
      <c r="G49" s="791"/>
    </row>
    <row r="50" spans="1:7" s="304" customFormat="1" ht="24" customHeight="1">
      <c r="A50" s="787"/>
      <c r="B50" s="787"/>
      <c r="C50" s="783"/>
      <c r="D50" s="783"/>
      <c r="E50" s="784"/>
      <c r="F50" s="696"/>
      <c r="G50" s="696"/>
    </row>
    <row r="51" spans="1:7" s="304" customFormat="1" ht="24" customHeight="1">
      <c r="A51" s="787"/>
      <c r="B51" s="787"/>
      <c r="C51" s="783"/>
      <c r="D51" s="783"/>
      <c r="E51" s="784"/>
      <c r="F51" s="696"/>
      <c r="G51" s="696"/>
    </row>
    <row r="52" spans="1:7" s="700" customFormat="1" ht="21" customHeight="1">
      <c r="A52" s="787"/>
      <c r="B52" s="787"/>
      <c r="C52" s="783"/>
      <c r="D52" s="783"/>
      <c r="E52" s="784"/>
      <c r="F52" s="791"/>
      <c r="G52" s="791"/>
    </row>
    <row r="53" spans="1:7" ht="19.5" customHeight="1"/>
    <row r="54" spans="1:7" ht="21.75" customHeight="1"/>
  </sheetData>
  <sheetProtection algorithmName="SHA-512" hashValue="s/LboKXv5a/tbfOCpHLGAI1gjjQVOu+01yP8k7bKDwm6FPMClT6HgwkUo6RV7dc2nGvTRDUkZs/GYuUKoDIw8A==" saltValue="bcMDMFtnlhmrvKl0luqtrA==" spinCount="100000" sheet="1" objects="1" scenarios="1"/>
  <mergeCells count="12">
    <mergeCell ref="A16:D16"/>
    <mergeCell ref="E1:F1"/>
    <mergeCell ref="E2:F2"/>
    <mergeCell ref="E3:F3"/>
    <mergeCell ref="A7:F7"/>
    <mergeCell ref="A8:F8"/>
    <mergeCell ref="A9:F9"/>
    <mergeCell ref="A13:A14"/>
    <mergeCell ref="B13:B14"/>
    <mergeCell ref="C13:D13"/>
    <mergeCell ref="E13:E14"/>
    <mergeCell ref="F13:F14"/>
  </mergeCells>
  <printOptions horizontalCentered="1"/>
  <pageMargins left="0.70866141732283472" right="0.70866141732283472" top="0.98425196850393704" bottom="0.74803149606299213" header="0" footer="0.19685039370078741"/>
  <pageSetup paperSize="9" scale="8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2"/>
  <sheetViews>
    <sheetView view="pageBreakPreview" zoomScaleNormal="100" zoomScaleSheetLayoutView="100" workbookViewId="0">
      <selection activeCell="D20" sqref="D20"/>
    </sheetView>
  </sheetViews>
  <sheetFormatPr defaultColWidth="8" defaultRowHeight="12.75"/>
  <cols>
    <col min="1" max="1" width="4.625" style="787" customWidth="1"/>
    <col min="2" max="2" width="6.625" style="787" customWidth="1"/>
    <col min="3" max="3" width="21.625" style="783" customWidth="1"/>
    <col min="4" max="4" width="42" style="783" customWidth="1"/>
    <col min="5" max="5" width="13.75" style="784" customWidth="1"/>
    <col min="6" max="6" width="16.125" style="783" customWidth="1"/>
    <col min="7" max="7" width="2.875" style="783" customWidth="1"/>
    <col min="8" max="16384" width="8" style="4"/>
  </cols>
  <sheetData>
    <row r="1" spans="1:7" ht="15" customHeight="1">
      <c r="C1" s="789"/>
      <c r="D1" s="812" t="s">
        <v>1097</v>
      </c>
      <c r="E1" s="812" t="s">
        <v>1098</v>
      </c>
      <c r="F1" s="812"/>
    </row>
    <row r="2" spans="1:7" ht="15" customHeight="1">
      <c r="C2" s="789"/>
      <c r="D2" s="789" t="s">
        <v>1099</v>
      </c>
      <c r="E2" s="1110" t="s">
        <v>1100</v>
      </c>
      <c r="F2" s="1110"/>
    </row>
    <row r="3" spans="1:7" ht="15" customHeight="1">
      <c r="D3" s="789" t="s">
        <v>1101</v>
      </c>
      <c r="E3" s="1110" t="s">
        <v>1102</v>
      </c>
      <c r="F3" s="1110"/>
    </row>
    <row r="4" spans="1:7" ht="16.5" customHeight="1">
      <c r="E4" s="789"/>
      <c r="F4" s="789"/>
    </row>
    <row r="5" spans="1:7" ht="11.25" customHeight="1">
      <c r="E5" s="789"/>
      <c r="F5" s="789"/>
    </row>
    <row r="6" spans="1:7" ht="18" customHeight="1">
      <c r="A6" s="1028" t="s">
        <v>1103</v>
      </c>
      <c r="B6" s="1028"/>
      <c r="C6" s="1028"/>
      <c r="D6" s="1028"/>
      <c r="E6" s="1028"/>
      <c r="F6" s="1028"/>
    </row>
    <row r="7" spans="1:7" ht="18" customHeight="1">
      <c r="A7" s="1028" t="s">
        <v>1104</v>
      </c>
      <c r="B7" s="1028"/>
      <c r="C7" s="1028"/>
      <c r="D7" s="1028"/>
      <c r="E7" s="1028"/>
      <c r="F7" s="1028"/>
    </row>
    <row r="8" spans="1:7" ht="16.5" customHeight="1">
      <c r="A8" s="1028" t="s">
        <v>277</v>
      </c>
      <c r="B8" s="1028"/>
      <c r="C8" s="1028"/>
      <c r="D8" s="1028"/>
      <c r="E8" s="1028"/>
      <c r="F8" s="1028"/>
    </row>
    <row r="9" spans="1:7" ht="16.5" customHeight="1">
      <c r="E9" s="789"/>
      <c r="F9" s="789"/>
    </row>
    <row r="10" spans="1:7" ht="16.5" customHeight="1">
      <c r="E10" s="789"/>
      <c r="F10" s="789"/>
    </row>
    <row r="11" spans="1:7" ht="11.25" customHeight="1">
      <c r="E11" s="789"/>
      <c r="F11" s="790" t="s">
        <v>15</v>
      </c>
    </row>
    <row r="12" spans="1:7" s="700" customFormat="1" ht="15.75" customHeight="1">
      <c r="A12" s="1111" t="s">
        <v>99</v>
      </c>
      <c r="B12" s="1111" t="s">
        <v>918</v>
      </c>
      <c r="C12" s="1113" t="s">
        <v>581</v>
      </c>
      <c r="D12" s="1114"/>
      <c r="E12" s="1115" t="s">
        <v>1105</v>
      </c>
      <c r="F12" s="1117" t="s">
        <v>1087</v>
      </c>
      <c r="G12" s="791"/>
    </row>
    <row r="13" spans="1:7" s="700" customFormat="1" ht="38.25" customHeight="1">
      <c r="A13" s="1112"/>
      <c r="B13" s="1112"/>
      <c r="C13" s="792" t="s">
        <v>1106</v>
      </c>
      <c r="D13" s="792" t="s">
        <v>1089</v>
      </c>
      <c r="E13" s="1116"/>
      <c r="F13" s="1118"/>
      <c r="G13" s="791"/>
    </row>
    <row r="14" spans="1:7" s="720" customFormat="1" ht="11.25">
      <c r="A14" s="793">
        <v>1</v>
      </c>
      <c r="B14" s="793">
        <v>2</v>
      </c>
      <c r="C14" s="794">
        <v>3</v>
      </c>
      <c r="D14" s="794">
        <v>4</v>
      </c>
      <c r="E14" s="795">
        <v>5</v>
      </c>
      <c r="F14" s="794">
        <v>6</v>
      </c>
      <c r="G14" s="721"/>
    </row>
    <row r="15" spans="1:7" s="797" customFormat="1" ht="22.5" customHeight="1">
      <c r="A15" s="1106" t="s">
        <v>316</v>
      </c>
      <c r="B15" s="1107"/>
      <c r="C15" s="1107"/>
      <c r="D15" s="1108"/>
      <c r="E15" s="796">
        <f>E17+E18+E19+E20+E21+E22+E23+E24+E25+E26+E27+E28+E29</f>
        <v>39102848</v>
      </c>
      <c r="F15" s="796">
        <f>F17+F18+F19+F20+F21+F22+F23+F24+F25+F26+F27+F28+F29</f>
        <v>111175530</v>
      </c>
    </row>
    <row r="16" spans="1:7" s="797" customFormat="1" ht="9" customHeight="1">
      <c r="A16" s="1106"/>
      <c r="B16" s="1107"/>
      <c r="C16" s="1107"/>
      <c r="D16" s="1107"/>
      <c r="E16" s="1107"/>
      <c r="F16" s="1108"/>
    </row>
    <row r="17" spans="1:7" s="820" customFormat="1" ht="41.1" customHeight="1">
      <c r="A17" s="813">
        <v>600</v>
      </c>
      <c r="B17" s="814">
        <v>60013</v>
      </c>
      <c r="C17" s="815" t="s">
        <v>1107</v>
      </c>
      <c r="D17" s="816" t="s">
        <v>1108</v>
      </c>
      <c r="E17" s="817">
        <v>807485</v>
      </c>
      <c r="F17" s="818">
        <v>807485</v>
      </c>
      <c r="G17" s="819"/>
    </row>
    <row r="18" spans="1:7" s="820" customFormat="1" ht="41.1" customHeight="1">
      <c r="A18" s="821"/>
      <c r="B18" s="814"/>
      <c r="C18" s="815" t="s">
        <v>1109</v>
      </c>
      <c r="D18" s="816" t="s">
        <v>516</v>
      </c>
      <c r="E18" s="817">
        <v>2818750</v>
      </c>
      <c r="F18" s="818">
        <v>11538750</v>
      </c>
      <c r="G18" s="819"/>
    </row>
    <row r="19" spans="1:7" s="820" customFormat="1" ht="54.95" customHeight="1">
      <c r="A19" s="813"/>
      <c r="B19" s="814"/>
      <c r="C19" s="815" t="s">
        <v>1110</v>
      </c>
      <c r="D19" s="816" t="s">
        <v>526</v>
      </c>
      <c r="E19" s="817">
        <v>316417</v>
      </c>
      <c r="F19" s="818">
        <v>421889</v>
      </c>
      <c r="G19" s="819"/>
    </row>
    <row r="20" spans="1:7" s="820" customFormat="1" ht="26.25" customHeight="1">
      <c r="A20" s="821"/>
      <c r="B20" s="814"/>
      <c r="C20" s="815" t="s">
        <v>1111</v>
      </c>
      <c r="D20" s="816" t="s">
        <v>1112</v>
      </c>
      <c r="E20" s="817">
        <v>2000000</v>
      </c>
      <c r="F20" s="818">
        <v>5000000</v>
      </c>
      <c r="G20" s="819"/>
    </row>
    <row r="21" spans="1:7" s="754" customFormat="1" ht="41.1" customHeight="1">
      <c r="A21" s="806" t="s">
        <v>33</v>
      </c>
      <c r="B21" s="806" t="s">
        <v>380</v>
      </c>
      <c r="C21" s="799" t="s">
        <v>1113</v>
      </c>
      <c r="D21" s="800" t="s">
        <v>1114</v>
      </c>
      <c r="E21" s="801">
        <v>850000</v>
      </c>
      <c r="F21" s="802">
        <v>850000</v>
      </c>
      <c r="G21" s="803"/>
    </row>
    <row r="22" spans="1:7" s="754" customFormat="1" ht="30" customHeight="1">
      <c r="A22" s="806" t="s">
        <v>100</v>
      </c>
      <c r="B22" s="806" t="s">
        <v>1007</v>
      </c>
      <c r="C22" s="799" t="s">
        <v>1113</v>
      </c>
      <c r="D22" s="800" t="s">
        <v>1115</v>
      </c>
      <c r="E22" s="801">
        <v>77000</v>
      </c>
      <c r="F22" s="802">
        <v>455000</v>
      </c>
      <c r="G22" s="803"/>
    </row>
    <row r="23" spans="1:7" s="754" customFormat="1" ht="26.25" customHeight="1">
      <c r="A23" s="798" t="s">
        <v>40</v>
      </c>
      <c r="B23" s="822" t="s">
        <v>1116</v>
      </c>
      <c r="C23" s="799" t="s">
        <v>1117</v>
      </c>
      <c r="D23" s="800" t="s">
        <v>1118</v>
      </c>
      <c r="E23" s="801">
        <v>240000</v>
      </c>
      <c r="F23" s="802">
        <v>1090000</v>
      </c>
      <c r="G23" s="803"/>
    </row>
    <row r="24" spans="1:7" s="754" customFormat="1" ht="27.75" customHeight="1">
      <c r="A24" s="804"/>
      <c r="B24" s="822" t="s">
        <v>1116</v>
      </c>
      <c r="C24" s="799" t="s">
        <v>1117</v>
      </c>
      <c r="D24" s="823" t="s">
        <v>1119</v>
      </c>
      <c r="E24" s="801">
        <v>200000</v>
      </c>
      <c r="F24" s="802">
        <v>800000</v>
      </c>
      <c r="G24" s="803"/>
    </row>
    <row r="25" spans="1:7" s="754" customFormat="1" ht="27.75" customHeight="1">
      <c r="A25" s="804"/>
      <c r="B25" s="822" t="s">
        <v>1120</v>
      </c>
      <c r="C25" s="799" t="s">
        <v>1117</v>
      </c>
      <c r="D25" s="823" t="s">
        <v>1121</v>
      </c>
      <c r="E25" s="801">
        <v>30000</v>
      </c>
      <c r="F25" s="802">
        <v>60000</v>
      </c>
      <c r="G25" s="803"/>
    </row>
    <row r="26" spans="1:7" s="754" customFormat="1" ht="18" customHeight="1">
      <c r="A26" s="804"/>
      <c r="B26" s="806" t="s">
        <v>463</v>
      </c>
      <c r="C26" s="799" t="s">
        <v>1117</v>
      </c>
      <c r="D26" s="800" t="s">
        <v>554</v>
      </c>
      <c r="E26" s="801">
        <v>27877203</v>
      </c>
      <c r="F26" s="802">
        <v>55754406</v>
      </c>
      <c r="G26" s="803"/>
    </row>
    <row r="27" spans="1:7" s="754" customFormat="1" ht="30" customHeight="1">
      <c r="A27" s="804"/>
      <c r="B27" s="806" t="s">
        <v>469</v>
      </c>
      <c r="C27" s="799" t="s">
        <v>1122</v>
      </c>
      <c r="D27" s="800" t="s">
        <v>1123</v>
      </c>
      <c r="E27" s="801">
        <v>85993</v>
      </c>
      <c r="F27" s="802">
        <v>1401000</v>
      </c>
      <c r="G27" s="803"/>
    </row>
    <row r="28" spans="1:7" s="754" customFormat="1" ht="30" customHeight="1">
      <c r="A28" s="804"/>
      <c r="B28" s="798" t="s">
        <v>478</v>
      </c>
      <c r="C28" s="799" t="s">
        <v>1117</v>
      </c>
      <c r="D28" s="800" t="s">
        <v>1124</v>
      </c>
      <c r="E28" s="801">
        <v>2400000</v>
      </c>
      <c r="F28" s="802">
        <v>16799000</v>
      </c>
      <c r="G28" s="803"/>
    </row>
    <row r="29" spans="1:7" s="754" customFormat="1" ht="30" customHeight="1">
      <c r="A29" s="805"/>
      <c r="B29" s="805"/>
      <c r="C29" s="799" t="s">
        <v>1125</v>
      </c>
      <c r="D29" s="800" t="s">
        <v>1126</v>
      </c>
      <c r="E29" s="801">
        <v>1400000</v>
      </c>
      <c r="F29" s="802">
        <v>16198000</v>
      </c>
      <c r="G29" s="803"/>
    </row>
    <row r="30" spans="1:7" ht="24.75" customHeight="1"/>
    <row r="31" spans="1:7" s="808" customFormat="1" ht="21" customHeight="1">
      <c r="A31" s="787"/>
      <c r="B31" s="787"/>
      <c r="C31" s="783"/>
      <c r="D31" s="783"/>
      <c r="E31" s="784"/>
      <c r="F31" s="782"/>
      <c r="G31" s="782"/>
    </row>
    <row r="33" spans="1:7" ht="9" customHeight="1"/>
    <row r="34" spans="1:7" s="752" customFormat="1" ht="35.25" customHeight="1">
      <c r="A34" s="787"/>
      <c r="B34" s="787"/>
      <c r="C34" s="783"/>
      <c r="D34" s="783"/>
      <c r="E34" s="784"/>
    </row>
    <row r="35" spans="1:7" s="807" customFormat="1" ht="22.5" customHeight="1">
      <c r="A35" s="787"/>
      <c r="B35" s="787"/>
      <c r="C35" s="783"/>
      <c r="D35" s="783"/>
      <c r="E35" s="784"/>
      <c r="F35" s="699"/>
      <c r="G35" s="699"/>
    </row>
    <row r="36" spans="1:7" ht="41.25" customHeight="1"/>
    <row r="37" spans="1:7" s="752" customFormat="1" ht="21.75" customHeight="1">
      <c r="A37" s="787"/>
      <c r="B37" s="787"/>
      <c r="C37" s="783"/>
      <c r="D37" s="783"/>
      <c r="E37" s="784"/>
    </row>
    <row r="38" spans="1:7" ht="21.75" customHeight="1">
      <c r="F38" s="4"/>
      <c r="G38" s="4"/>
    </row>
    <row r="39" spans="1:7" ht="24.75" customHeight="1">
      <c r="F39" s="4"/>
      <c r="G39" s="4"/>
    </row>
    <row r="40" spans="1:7" ht="12" customHeight="1">
      <c r="F40" s="4"/>
      <c r="G40" s="4"/>
    </row>
    <row r="41" spans="1:7" s="810" customFormat="1" ht="30.75" customHeight="1">
      <c r="A41" s="787"/>
      <c r="B41" s="787"/>
      <c r="C41" s="783"/>
      <c r="D41" s="783"/>
      <c r="E41" s="784"/>
    </row>
    <row r="42" spans="1:7" s="752" customFormat="1" ht="21.75" customHeight="1">
      <c r="A42" s="787"/>
      <c r="B42" s="787"/>
      <c r="C42" s="783"/>
      <c r="D42" s="783"/>
      <c r="E42" s="784"/>
    </row>
    <row r="43" spans="1:7" s="811" customFormat="1" ht="21.75" customHeight="1">
      <c r="A43" s="787"/>
      <c r="B43" s="787"/>
      <c r="C43" s="783"/>
      <c r="D43" s="783"/>
      <c r="E43" s="784"/>
    </row>
    <row r="44" spans="1:7" s="811" customFormat="1" ht="21.75" customHeight="1">
      <c r="A44" s="787"/>
      <c r="B44" s="787"/>
      <c r="C44" s="783"/>
      <c r="D44" s="783"/>
      <c r="E44" s="784"/>
    </row>
    <row r="46" spans="1:7" s="700" customFormat="1" ht="24" customHeight="1">
      <c r="A46" s="787"/>
      <c r="B46" s="787"/>
      <c r="C46" s="783"/>
      <c r="D46" s="783"/>
      <c r="E46" s="784"/>
      <c r="F46" s="791"/>
      <c r="G46" s="791"/>
    </row>
    <row r="47" spans="1:7" s="700" customFormat="1" ht="24" customHeight="1">
      <c r="A47" s="787"/>
      <c r="B47" s="787"/>
      <c r="C47" s="783"/>
      <c r="D47" s="783"/>
      <c r="E47" s="784"/>
      <c r="F47" s="791"/>
      <c r="G47" s="791"/>
    </row>
    <row r="48" spans="1:7" s="304" customFormat="1" ht="24" customHeight="1">
      <c r="A48" s="787"/>
      <c r="B48" s="787"/>
      <c r="C48" s="783"/>
      <c r="D48" s="783"/>
      <c r="E48" s="784"/>
      <c r="F48" s="696"/>
      <c r="G48" s="696"/>
    </row>
    <row r="49" spans="1:7" s="304" customFormat="1" ht="24" customHeight="1">
      <c r="A49" s="787"/>
      <c r="B49" s="787"/>
      <c r="C49" s="783"/>
      <c r="D49" s="783"/>
      <c r="E49" s="784"/>
      <c r="F49" s="696"/>
      <c r="G49" s="696"/>
    </row>
    <row r="50" spans="1:7" s="700" customFormat="1" ht="21" customHeight="1">
      <c r="A50" s="787"/>
      <c r="B50" s="787"/>
      <c r="C50" s="783"/>
      <c r="D50" s="783"/>
      <c r="E50" s="784"/>
      <c r="F50" s="791"/>
      <c r="G50" s="791"/>
    </row>
    <row r="51" spans="1:7" ht="19.5" customHeight="1"/>
    <row r="52" spans="1:7" ht="21.75" customHeight="1"/>
  </sheetData>
  <sheetProtection algorithmName="SHA-512" hashValue="hzZVR8TBiz+OXG0u0z/B3lxqryOveh7cGxdEHh9zRw7lo3szHn3AJUSwMLJN/zq4+P2E4wQPFDbpuRCj620BCQ==" saltValue="L7jY7690l8PH4CAXBT/TtA==" spinCount="100000" sheet="1" objects="1" scenarios="1"/>
  <mergeCells count="12">
    <mergeCell ref="A15:D15"/>
    <mergeCell ref="A16:F16"/>
    <mergeCell ref="E2:F2"/>
    <mergeCell ref="E3:F3"/>
    <mergeCell ref="A6:F6"/>
    <mergeCell ref="A7:F7"/>
    <mergeCell ref="A8:F8"/>
    <mergeCell ref="A12:A13"/>
    <mergeCell ref="B12:B13"/>
    <mergeCell ref="C12:D12"/>
    <mergeCell ref="E12:E13"/>
    <mergeCell ref="F12:F13"/>
  </mergeCells>
  <printOptions horizontalCentered="1"/>
  <pageMargins left="0.70866141732283472" right="0.70866141732283472" top="0.98425196850393704" bottom="0.74803149606299213" header="0" footer="0.19685039370078741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29"/>
  <sheetViews>
    <sheetView tabSelected="1" view="pageBreakPreview" zoomScaleNormal="100" zoomScaleSheetLayoutView="100" workbookViewId="0">
      <selection activeCell="E17" sqref="E17"/>
    </sheetView>
  </sheetViews>
  <sheetFormatPr defaultRowHeight="12.75"/>
  <cols>
    <col min="1" max="1" width="3.875" style="864" customWidth="1"/>
    <col min="2" max="2" width="53.5" style="865" customWidth="1"/>
    <col min="3" max="3" width="7.125" style="866" customWidth="1"/>
    <col min="4" max="4" width="12" style="866" customWidth="1"/>
    <col min="5" max="6" width="10.25" style="867" customWidth="1"/>
    <col min="7" max="7" width="12" style="835" customWidth="1"/>
    <col min="8" max="256" width="9" style="835"/>
    <col min="257" max="257" width="3.875" style="835" customWidth="1"/>
    <col min="258" max="258" width="53.5" style="835" customWidth="1"/>
    <col min="259" max="259" width="7.125" style="835" customWidth="1"/>
    <col min="260" max="260" width="12" style="835" customWidth="1"/>
    <col min="261" max="262" width="10.25" style="835" customWidth="1"/>
    <col min="263" max="263" width="12" style="835" customWidth="1"/>
    <col min="264" max="512" width="9" style="835"/>
    <col min="513" max="513" width="3.875" style="835" customWidth="1"/>
    <col min="514" max="514" width="53.5" style="835" customWidth="1"/>
    <col min="515" max="515" width="7.125" style="835" customWidth="1"/>
    <col min="516" max="516" width="12" style="835" customWidth="1"/>
    <col min="517" max="518" width="10.25" style="835" customWidth="1"/>
    <col min="519" max="519" width="12" style="835" customWidth="1"/>
    <col min="520" max="768" width="9" style="835"/>
    <col min="769" max="769" width="3.875" style="835" customWidth="1"/>
    <col min="770" max="770" width="53.5" style="835" customWidth="1"/>
    <col min="771" max="771" width="7.125" style="835" customWidth="1"/>
    <col min="772" max="772" width="12" style="835" customWidth="1"/>
    <col min="773" max="774" width="10.25" style="835" customWidth="1"/>
    <col min="775" max="775" width="12" style="835" customWidth="1"/>
    <col min="776" max="1024" width="9" style="835"/>
    <col min="1025" max="1025" width="3.875" style="835" customWidth="1"/>
    <col min="1026" max="1026" width="53.5" style="835" customWidth="1"/>
    <col min="1027" max="1027" width="7.125" style="835" customWidth="1"/>
    <col min="1028" max="1028" width="12" style="835" customWidth="1"/>
    <col min="1029" max="1030" width="10.25" style="835" customWidth="1"/>
    <col min="1031" max="1031" width="12" style="835" customWidth="1"/>
    <col min="1032" max="1280" width="9" style="835"/>
    <col min="1281" max="1281" width="3.875" style="835" customWidth="1"/>
    <col min="1282" max="1282" width="53.5" style="835" customWidth="1"/>
    <col min="1283" max="1283" width="7.125" style="835" customWidth="1"/>
    <col min="1284" max="1284" width="12" style="835" customWidth="1"/>
    <col min="1285" max="1286" width="10.25" style="835" customWidth="1"/>
    <col min="1287" max="1287" width="12" style="835" customWidth="1"/>
    <col min="1288" max="1536" width="9" style="835"/>
    <col min="1537" max="1537" width="3.875" style="835" customWidth="1"/>
    <col min="1538" max="1538" width="53.5" style="835" customWidth="1"/>
    <col min="1539" max="1539" width="7.125" style="835" customWidth="1"/>
    <col min="1540" max="1540" width="12" style="835" customWidth="1"/>
    <col min="1541" max="1542" width="10.25" style="835" customWidth="1"/>
    <col min="1543" max="1543" width="12" style="835" customWidth="1"/>
    <col min="1544" max="1792" width="9" style="835"/>
    <col min="1793" max="1793" width="3.875" style="835" customWidth="1"/>
    <col min="1794" max="1794" width="53.5" style="835" customWidth="1"/>
    <col min="1795" max="1795" width="7.125" style="835" customWidth="1"/>
    <col min="1796" max="1796" width="12" style="835" customWidth="1"/>
    <col min="1797" max="1798" width="10.25" style="835" customWidth="1"/>
    <col min="1799" max="1799" width="12" style="835" customWidth="1"/>
    <col min="1800" max="2048" width="9" style="835"/>
    <col min="2049" max="2049" width="3.875" style="835" customWidth="1"/>
    <col min="2050" max="2050" width="53.5" style="835" customWidth="1"/>
    <col min="2051" max="2051" width="7.125" style="835" customWidth="1"/>
    <col min="2052" max="2052" width="12" style="835" customWidth="1"/>
    <col min="2053" max="2054" width="10.25" style="835" customWidth="1"/>
    <col min="2055" max="2055" width="12" style="835" customWidth="1"/>
    <col min="2056" max="2304" width="9" style="835"/>
    <col min="2305" max="2305" width="3.875" style="835" customWidth="1"/>
    <col min="2306" max="2306" width="53.5" style="835" customWidth="1"/>
    <col min="2307" max="2307" width="7.125" style="835" customWidth="1"/>
    <col min="2308" max="2308" width="12" style="835" customWidth="1"/>
    <col min="2309" max="2310" width="10.25" style="835" customWidth="1"/>
    <col min="2311" max="2311" width="12" style="835" customWidth="1"/>
    <col min="2312" max="2560" width="9" style="835"/>
    <col min="2561" max="2561" width="3.875" style="835" customWidth="1"/>
    <col min="2562" max="2562" width="53.5" style="835" customWidth="1"/>
    <col min="2563" max="2563" width="7.125" style="835" customWidth="1"/>
    <col min="2564" max="2564" width="12" style="835" customWidth="1"/>
    <col min="2565" max="2566" width="10.25" style="835" customWidth="1"/>
    <col min="2567" max="2567" width="12" style="835" customWidth="1"/>
    <col min="2568" max="2816" width="9" style="835"/>
    <col min="2817" max="2817" width="3.875" style="835" customWidth="1"/>
    <col min="2818" max="2818" width="53.5" style="835" customWidth="1"/>
    <col min="2819" max="2819" width="7.125" style="835" customWidth="1"/>
    <col min="2820" max="2820" width="12" style="835" customWidth="1"/>
    <col min="2821" max="2822" width="10.25" style="835" customWidth="1"/>
    <col min="2823" max="2823" width="12" style="835" customWidth="1"/>
    <col min="2824" max="3072" width="9" style="835"/>
    <col min="3073" max="3073" width="3.875" style="835" customWidth="1"/>
    <col min="3074" max="3074" width="53.5" style="835" customWidth="1"/>
    <col min="3075" max="3075" width="7.125" style="835" customWidth="1"/>
    <col min="3076" max="3076" width="12" style="835" customWidth="1"/>
    <col min="3077" max="3078" width="10.25" style="835" customWidth="1"/>
    <col min="3079" max="3079" width="12" style="835" customWidth="1"/>
    <col min="3080" max="3328" width="9" style="835"/>
    <col min="3329" max="3329" width="3.875" style="835" customWidth="1"/>
    <col min="3330" max="3330" width="53.5" style="835" customWidth="1"/>
    <col min="3331" max="3331" width="7.125" style="835" customWidth="1"/>
    <col min="3332" max="3332" width="12" style="835" customWidth="1"/>
    <col min="3333" max="3334" width="10.25" style="835" customWidth="1"/>
    <col min="3335" max="3335" width="12" style="835" customWidth="1"/>
    <col min="3336" max="3584" width="9" style="835"/>
    <col min="3585" max="3585" width="3.875" style="835" customWidth="1"/>
    <col min="3586" max="3586" width="53.5" style="835" customWidth="1"/>
    <col min="3587" max="3587" width="7.125" style="835" customWidth="1"/>
    <col min="3588" max="3588" width="12" style="835" customWidth="1"/>
    <col min="3589" max="3590" width="10.25" style="835" customWidth="1"/>
    <col min="3591" max="3591" width="12" style="835" customWidth="1"/>
    <col min="3592" max="3840" width="9" style="835"/>
    <col min="3841" max="3841" width="3.875" style="835" customWidth="1"/>
    <col min="3842" max="3842" width="53.5" style="835" customWidth="1"/>
    <col min="3843" max="3843" width="7.125" style="835" customWidth="1"/>
    <col min="3844" max="3844" width="12" style="835" customWidth="1"/>
    <col min="3845" max="3846" width="10.25" style="835" customWidth="1"/>
    <col min="3847" max="3847" width="12" style="835" customWidth="1"/>
    <col min="3848" max="4096" width="9" style="835"/>
    <col min="4097" max="4097" width="3.875" style="835" customWidth="1"/>
    <col min="4098" max="4098" width="53.5" style="835" customWidth="1"/>
    <col min="4099" max="4099" width="7.125" style="835" customWidth="1"/>
    <col min="4100" max="4100" width="12" style="835" customWidth="1"/>
    <col min="4101" max="4102" width="10.25" style="835" customWidth="1"/>
    <col min="4103" max="4103" width="12" style="835" customWidth="1"/>
    <col min="4104" max="4352" width="9" style="835"/>
    <col min="4353" max="4353" width="3.875" style="835" customWidth="1"/>
    <col min="4354" max="4354" width="53.5" style="835" customWidth="1"/>
    <col min="4355" max="4355" width="7.125" style="835" customWidth="1"/>
    <col min="4356" max="4356" width="12" style="835" customWidth="1"/>
    <col min="4357" max="4358" width="10.25" style="835" customWidth="1"/>
    <col min="4359" max="4359" width="12" style="835" customWidth="1"/>
    <col min="4360" max="4608" width="9" style="835"/>
    <col min="4609" max="4609" width="3.875" style="835" customWidth="1"/>
    <col min="4610" max="4610" width="53.5" style="835" customWidth="1"/>
    <col min="4611" max="4611" width="7.125" style="835" customWidth="1"/>
    <col min="4612" max="4612" width="12" style="835" customWidth="1"/>
    <col min="4613" max="4614" width="10.25" style="835" customWidth="1"/>
    <col min="4615" max="4615" width="12" style="835" customWidth="1"/>
    <col min="4616" max="4864" width="9" style="835"/>
    <col min="4865" max="4865" width="3.875" style="835" customWidth="1"/>
    <col min="4866" max="4866" width="53.5" style="835" customWidth="1"/>
    <col min="4867" max="4867" width="7.125" style="835" customWidth="1"/>
    <col min="4868" max="4868" width="12" style="835" customWidth="1"/>
    <col min="4869" max="4870" width="10.25" style="835" customWidth="1"/>
    <col min="4871" max="4871" width="12" style="835" customWidth="1"/>
    <col min="4872" max="5120" width="9" style="835"/>
    <col min="5121" max="5121" width="3.875" style="835" customWidth="1"/>
    <col min="5122" max="5122" width="53.5" style="835" customWidth="1"/>
    <col min="5123" max="5123" width="7.125" style="835" customWidth="1"/>
    <col min="5124" max="5124" width="12" style="835" customWidth="1"/>
    <col min="5125" max="5126" width="10.25" style="835" customWidth="1"/>
    <col min="5127" max="5127" width="12" style="835" customWidth="1"/>
    <col min="5128" max="5376" width="9" style="835"/>
    <col min="5377" max="5377" width="3.875" style="835" customWidth="1"/>
    <col min="5378" max="5378" width="53.5" style="835" customWidth="1"/>
    <col min="5379" max="5379" width="7.125" style="835" customWidth="1"/>
    <col min="5380" max="5380" width="12" style="835" customWidth="1"/>
    <col min="5381" max="5382" width="10.25" style="835" customWidth="1"/>
    <col min="5383" max="5383" width="12" style="835" customWidth="1"/>
    <col min="5384" max="5632" width="9" style="835"/>
    <col min="5633" max="5633" width="3.875" style="835" customWidth="1"/>
    <col min="5634" max="5634" width="53.5" style="835" customWidth="1"/>
    <col min="5635" max="5635" width="7.125" style="835" customWidth="1"/>
    <col min="5636" max="5636" width="12" style="835" customWidth="1"/>
    <col min="5637" max="5638" width="10.25" style="835" customWidth="1"/>
    <col min="5639" max="5639" width="12" style="835" customWidth="1"/>
    <col min="5640" max="5888" width="9" style="835"/>
    <col min="5889" max="5889" width="3.875" style="835" customWidth="1"/>
    <col min="5890" max="5890" width="53.5" style="835" customWidth="1"/>
    <col min="5891" max="5891" width="7.125" style="835" customWidth="1"/>
    <col min="5892" max="5892" width="12" style="835" customWidth="1"/>
    <col min="5893" max="5894" width="10.25" style="835" customWidth="1"/>
    <col min="5895" max="5895" width="12" style="835" customWidth="1"/>
    <col min="5896" max="6144" width="9" style="835"/>
    <col min="6145" max="6145" width="3.875" style="835" customWidth="1"/>
    <col min="6146" max="6146" width="53.5" style="835" customWidth="1"/>
    <col min="6147" max="6147" width="7.125" style="835" customWidth="1"/>
    <col min="6148" max="6148" width="12" style="835" customWidth="1"/>
    <col min="6149" max="6150" width="10.25" style="835" customWidth="1"/>
    <col min="6151" max="6151" width="12" style="835" customWidth="1"/>
    <col min="6152" max="6400" width="9" style="835"/>
    <col min="6401" max="6401" width="3.875" style="835" customWidth="1"/>
    <col min="6402" max="6402" width="53.5" style="835" customWidth="1"/>
    <col min="6403" max="6403" width="7.125" style="835" customWidth="1"/>
    <col min="6404" max="6404" width="12" style="835" customWidth="1"/>
    <col min="6405" max="6406" width="10.25" style="835" customWidth="1"/>
    <col min="6407" max="6407" width="12" style="835" customWidth="1"/>
    <col min="6408" max="6656" width="9" style="835"/>
    <col min="6657" max="6657" width="3.875" style="835" customWidth="1"/>
    <col min="6658" max="6658" width="53.5" style="835" customWidth="1"/>
    <col min="6659" max="6659" width="7.125" style="835" customWidth="1"/>
    <col min="6660" max="6660" width="12" style="835" customWidth="1"/>
    <col min="6661" max="6662" width="10.25" style="835" customWidth="1"/>
    <col min="6663" max="6663" width="12" style="835" customWidth="1"/>
    <col min="6664" max="6912" width="9" style="835"/>
    <col min="6913" max="6913" width="3.875" style="835" customWidth="1"/>
    <col min="6914" max="6914" width="53.5" style="835" customWidth="1"/>
    <col min="6915" max="6915" width="7.125" style="835" customWidth="1"/>
    <col min="6916" max="6916" width="12" style="835" customWidth="1"/>
    <col min="6917" max="6918" width="10.25" style="835" customWidth="1"/>
    <col min="6919" max="6919" width="12" style="835" customWidth="1"/>
    <col min="6920" max="7168" width="9" style="835"/>
    <col min="7169" max="7169" width="3.875" style="835" customWidth="1"/>
    <col min="7170" max="7170" width="53.5" style="835" customWidth="1"/>
    <col min="7171" max="7171" width="7.125" style="835" customWidth="1"/>
    <col min="7172" max="7172" width="12" style="835" customWidth="1"/>
    <col min="7173" max="7174" width="10.25" style="835" customWidth="1"/>
    <col min="7175" max="7175" width="12" style="835" customWidth="1"/>
    <col min="7176" max="7424" width="9" style="835"/>
    <col min="7425" max="7425" width="3.875" style="835" customWidth="1"/>
    <col min="7426" max="7426" width="53.5" style="835" customWidth="1"/>
    <col min="7427" max="7427" width="7.125" style="835" customWidth="1"/>
    <col min="7428" max="7428" width="12" style="835" customWidth="1"/>
    <col min="7429" max="7430" width="10.25" style="835" customWidth="1"/>
    <col min="7431" max="7431" width="12" style="835" customWidth="1"/>
    <col min="7432" max="7680" width="9" style="835"/>
    <col min="7681" max="7681" width="3.875" style="835" customWidth="1"/>
    <col min="7682" max="7682" width="53.5" style="835" customWidth="1"/>
    <col min="7683" max="7683" width="7.125" style="835" customWidth="1"/>
    <col min="7684" max="7684" width="12" style="835" customWidth="1"/>
    <col min="7685" max="7686" width="10.25" style="835" customWidth="1"/>
    <col min="7687" max="7687" width="12" style="835" customWidth="1"/>
    <col min="7688" max="7936" width="9" style="835"/>
    <col min="7937" max="7937" width="3.875" style="835" customWidth="1"/>
    <col min="7938" max="7938" width="53.5" style="835" customWidth="1"/>
    <col min="7939" max="7939" width="7.125" style="835" customWidth="1"/>
    <col min="7940" max="7940" width="12" style="835" customWidth="1"/>
    <col min="7941" max="7942" width="10.25" style="835" customWidth="1"/>
    <col min="7943" max="7943" width="12" style="835" customWidth="1"/>
    <col min="7944" max="8192" width="9" style="835"/>
    <col min="8193" max="8193" width="3.875" style="835" customWidth="1"/>
    <col min="8194" max="8194" width="53.5" style="835" customWidth="1"/>
    <col min="8195" max="8195" width="7.125" style="835" customWidth="1"/>
    <col min="8196" max="8196" width="12" style="835" customWidth="1"/>
    <col min="8197" max="8198" width="10.25" style="835" customWidth="1"/>
    <col min="8199" max="8199" width="12" style="835" customWidth="1"/>
    <col min="8200" max="8448" width="9" style="835"/>
    <col min="8449" max="8449" width="3.875" style="835" customWidth="1"/>
    <col min="8450" max="8450" width="53.5" style="835" customWidth="1"/>
    <col min="8451" max="8451" width="7.125" style="835" customWidth="1"/>
    <col min="8452" max="8452" width="12" style="835" customWidth="1"/>
    <col min="8453" max="8454" width="10.25" style="835" customWidth="1"/>
    <col min="8455" max="8455" width="12" style="835" customWidth="1"/>
    <col min="8456" max="8704" width="9" style="835"/>
    <col min="8705" max="8705" width="3.875" style="835" customWidth="1"/>
    <col min="8706" max="8706" width="53.5" style="835" customWidth="1"/>
    <col min="8707" max="8707" width="7.125" style="835" customWidth="1"/>
    <col min="8708" max="8708" width="12" style="835" customWidth="1"/>
    <col min="8709" max="8710" width="10.25" style="835" customWidth="1"/>
    <col min="8711" max="8711" width="12" style="835" customWidth="1"/>
    <col min="8712" max="8960" width="9" style="835"/>
    <col min="8961" max="8961" width="3.875" style="835" customWidth="1"/>
    <col min="8962" max="8962" width="53.5" style="835" customWidth="1"/>
    <col min="8963" max="8963" width="7.125" style="835" customWidth="1"/>
    <col min="8964" max="8964" width="12" style="835" customWidth="1"/>
    <col min="8965" max="8966" width="10.25" style="835" customWidth="1"/>
    <col min="8967" max="8967" width="12" style="835" customWidth="1"/>
    <col min="8968" max="9216" width="9" style="835"/>
    <col min="9217" max="9217" width="3.875" style="835" customWidth="1"/>
    <col min="9218" max="9218" width="53.5" style="835" customWidth="1"/>
    <col min="9219" max="9219" width="7.125" style="835" customWidth="1"/>
    <col min="9220" max="9220" width="12" style="835" customWidth="1"/>
    <col min="9221" max="9222" width="10.25" style="835" customWidth="1"/>
    <col min="9223" max="9223" width="12" style="835" customWidth="1"/>
    <col min="9224" max="9472" width="9" style="835"/>
    <col min="9473" max="9473" width="3.875" style="835" customWidth="1"/>
    <col min="9474" max="9474" width="53.5" style="835" customWidth="1"/>
    <col min="9475" max="9475" width="7.125" style="835" customWidth="1"/>
    <col min="9476" max="9476" width="12" style="835" customWidth="1"/>
    <col min="9477" max="9478" width="10.25" style="835" customWidth="1"/>
    <col min="9479" max="9479" width="12" style="835" customWidth="1"/>
    <col min="9480" max="9728" width="9" style="835"/>
    <col min="9729" max="9729" width="3.875" style="835" customWidth="1"/>
    <col min="9730" max="9730" width="53.5" style="835" customWidth="1"/>
    <col min="9731" max="9731" width="7.125" style="835" customWidth="1"/>
    <col min="9732" max="9732" width="12" style="835" customWidth="1"/>
    <col min="9733" max="9734" width="10.25" style="835" customWidth="1"/>
    <col min="9735" max="9735" width="12" style="835" customWidth="1"/>
    <col min="9736" max="9984" width="9" style="835"/>
    <col min="9985" max="9985" width="3.875" style="835" customWidth="1"/>
    <col min="9986" max="9986" width="53.5" style="835" customWidth="1"/>
    <col min="9987" max="9987" width="7.125" style="835" customWidth="1"/>
    <col min="9988" max="9988" width="12" style="835" customWidth="1"/>
    <col min="9989" max="9990" width="10.25" style="835" customWidth="1"/>
    <col min="9991" max="9991" width="12" style="835" customWidth="1"/>
    <col min="9992" max="10240" width="9" style="835"/>
    <col min="10241" max="10241" width="3.875" style="835" customWidth="1"/>
    <col min="10242" max="10242" width="53.5" style="835" customWidth="1"/>
    <col min="10243" max="10243" width="7.125" style="835" customWidth="1"/>
    <col min="10244" max="10244" width="12" style="835" customWidth="1"/>
    <col min="10245" max="10246" width="10.25" style="835" customWidth="1"/>
    <col min="10247" max="10247" width="12" style="835" customWidth="1"/>
    <col min="10248" max="10496" width="9" style="835"/>
    <col min="10497" max="10497" width="3.875" style="835" customWidth="1"/>
    <col min="10498" max="10498" width="53.5" style="835" customWidth="1"/>
    <col min="10499" max="10499" width="7.125" style="835" customWidth="1"/>
    <col min="10500" max="10500" width="12" style="835" customWidth="1"/>
    <col min="10501" max="10502" width="10.25" style="835" customWidth="1"/>
    <col min="10503" max="10503" width="12" style="835" customWidth="1"/>
    <col min="10504" max="10752" width="9" style="835"/>
    <col min="10753" max="10753" width="3.875" style="835" customWidth="1"/>
    <col min="10754" max="10754" width="53.5" style="835" customWidth="1"/>
    <col min="10755" max="10755" width="7.125" style="835" customWidth="1"/>
    <col min="10756" max="10756" width="12" style="835" customWidth="1"/>
    <col min="10757" max="10758" width="10.25" style="835" customWidth="1"/>
    <col min="10759" max="10759" width="12" style="835" customWidth="1"/>
    <col min="10760" max="11008" width="9" style="835"/>
    <col min="11009" max="11009" width="3.875" style="835" customWidth="1"/>
    <col min="11010" max="11010" width="53.5" style="835" customWidth="1"/>
    <col min="11011" max="11011" width="7.125" style="835" customWidth="1"/>
    <col min="11012" max="11012" width="12" style="835" customWidth="1"/>
    <col min="11013" max="11014" width="10.25" style="835" customWidth="1"/>
    <col min="11015" max="11015" width="12" style="835" customWidth="1"/>
    <col min="11016" max="11264" width="9" style="835"/>
    <col min="11265" max="11265" width="3.875" style="835" customWidth="1"/>
    <col min="11266" max="11266" width="53.5" style="835" customWidth="1"/>
    <col min="11267" max="11267" width="7.125" style="835" customWidth="1"/>
    <col min="11268" max="11268" width="12" style="835" customWidth="1"/>
    <col min="11269" max="11270" width="10.25" style="835" customWidth="1"/>
    <col min="11271" max="11271" width="12" style="835" customWidth="1"/>
    <col min="11272" max="11520" width="9" style="835"/>
    <col min="11521" max="11521" width="3.875" style="835" customWidth="1"/>
    <col min="11522" max="11522" width="53.5" style="835" customWidth="1"/>
    <col min="11523" max="11523" width="7.125" style="835" customWidth="1"/>
    <col min="11524" max="11524" width="12" style="835" customWidth="1"/>
    <col min="11525" max="11526" width="10.25" style="835" customWidth="1"/>
    <col min="11527" max="11527" width="12" style="835" customWidth="1"/>
    <col min="11528" max="11776" width="9" style="835"/>
    <col min="11777" max="11777" width="3.875" style="835" customWidth="1"/>
    <col min="11778" max="11778" width="53.5" style="835" customWidth="1"/>
    <col min="11779" max="11779" width="7.125" style="835" customWidth="1"/>
    <col min="11780" max="11780" width="12" style="835" customWidth="1"/>
    <col min="11781" max="11782" width="10.25" style="835" customWidth="1"/>
    <col min="11783" max="11783" width="12" style="835" customWidth="1"/>
    <col min="11784" max="12032" width="9" style="835"/>
    <col min="12033" max="12033" width="3.875" style="835" customWidth="1"/>
    <col min="12034" max="12034" width="53.5" style="835" customWidth="1"/>
    <col min="12035" max="12035" width="7.125" style="835" customWidth="1"/>
    <col min="12036" max="12036" width="12" style="835" customWidth="1"/>
    <col min="12037" max="12038" width="10.25" style="835" customWidth="1"/>
    <col min="12039" max="12039" width="12" style="835" customWidth="1"/>
    <col min="12040" max="12288" width="9" style="835"/>
    <col min="12289" max="12289" width="3.875" style="835" customWidth="1"/>
    <col min="12290" max="12290" width="53.5" style="835" customWidth="1"/>
    <col min="12291" max="12291" width="7.125" style="835" customWidth="1"/>
    <col min="12292" max="12292" width="12" style="835" customWidth="1"/>
    <col min="12293" max="12294" width="10.25" style="835" customWidth="1"/>
    <col min="12295" max="12295" width="12" style="835" customWidth="1"/>
    <col min="12296" max="12544" width="9" style="835"/>
    <col min="12545" max="12545" width="3.875" style="835" customWidth="1"/>
    <col min="12546" max="12546" width="53.5" style="835" customWidth="1"/>
    <col min="12547" max="12547" width="7.125" style="835" customWidth="1"/>
    <col min="12548" max="12548" width="12" style="835" customWidth="1"/>
    <col min="12549" max="12550" width="10.25" style="835" customWidth="1"/>
    <col min="12551" max="12551" width="12" style="835" customWidth="1"/>
    <col min="12552" max="12800" width="9" style="835"/>
    <col min="12801" max="12801" width="3.875" style="835" customWidth="1"/>
    <col min="12802" max="12802" width="53.5" style="835" customWidth="1"/>
    <col min="12803" max="12803" width="7.125" style="835" customWidth="1"/>
    <col min="12804" max="12804" width="12" style="835" customWidth="1"/>
    <col min="12805" max="12806" width="10.25" style="835" customWidth="1"/>
    <col min="12807" max="12807" width="12" style="835" customWidth="1"/>
    <col min="12808" max="13056" width="9" style="835"/>
    <col min="13057" max="13057" width="3.875" style="835" customWidth="1"/>
    <col min="13058" max="13058" width="53.5" style="835" customWidth="1"/>
    <col min="13059" max="13059" width="7.125" style="835" customWidth="1"/>
    <col min="13060" max="13060" width="12" style="835" customWidth="1"/>
    <col min="13061" max="13062" width="10.25" style="835" customWidth="1"/>
    <col min="13063" max="13063" width="12" style="835" customWidth="1"/>
    <col min="13064" max="13312" width="9" style="835"/>
    <col min="13313" max="13313" width="3.875" style="835" customWidth="1"/>
    <col min="13314" max="13314" width="53.5" style="835" customWidth="1"/>
    <col min="13315" max="13315" width="7.125" style="835" customWidth="1"/>
    <col min="13316" max="13316" width="12" style="835" customWidth="1"/>
    <col min="13317" max="13318" width="10.25" style="835" customWidth="1"/>
    <col min="13319" max="13319" width="12" style="835" customWidth="1"/>
    <col min="13320" max="13568" width="9" style="835"/>
    <col min="13569" max="13569" width="3.875" style="835" customWidth="1"/>
    <col min="13570" max="13570" width="53.5" style="835" customWidth="1"/>
    <col min="13571" max="13571" width="7.125" style="835" customWidth="1"/>
    <col min="13572" max="13572" width="12" style="835" customWidth="1"/>
    <col min="13573" max="13574" width="10.25" style="835" customWidth="1"/>
    <col min="13575" max="13575" width="12" style="835" customWidth="1"/>
    <col min="13576" max="13824" width="9" style="835"/>
    <col min="13825" max="13825" width="3.875" style="835" customWidth="1"/>
    <col min="13826" max="13826" width="53.5" style="835" customWidth="1"/>
    <col min="13827" max="13827" width="7.125" style="835" customWidth="1"/>
    <col min="13828" max="13828" width="12" style="835" customWidth="1"/>
    <col min="13829" max="13830" width="10.25" style="835" customWidth="1"/>
    <col min="13831" max="13831" width="12" style="835" customWidth="1"/>
    <col min="13832" max="14080" width="9" style="835"/>
    <col min="14081" max="14081" width="3.875" style="835" customWidth="1"/>
    <col min="14082" max="14082" width="53.5" style="835" customWidth="1"/>
    <col min="14083" max="14083" width="7.125" style="835" customWidth="1"/>
    <col min="14084" max="14084" width="12" style="835" customWidth="1"/>
    <col min="14085" max="14086" width="10.25" style="835" customWidth="1"/>
    <col min="14087" max="14087" width="12" style="835" customWidth="1"/>
    <col min="14088" max="14336" width="9" style="835"/>
    <col min="14337" max="14337" width="3.875" style="835" customWidth="1"/>
    <col min="14338" max="14338" width="53.5" style="835" customWidth="1"/>
    <col min="14339" max="14339" width="7.125" style="835" customWidth="1"/>
    <col min="14340" max="14340" width="12" style="835" customWidth="1"/>
    <col min="14341" max="14342" width="10.25" style="835" customWidth="1"/>
    <col min="14343" max="14343" width="12" style="835" customWidth="1"/>
    <col min="14344" max="14592" width="9" style="835"/>
    <col min="14593" max="14593" width="3.875" style="835" customWidth="1"/>
    <col min="14594" max="14594" width="53.5" style="835" customWidth="1"/>
    <col min="14595" max="14595" width="7.125" style="835" customWidth="1"/>
    <col min="14596" max="14596" width="12" style="835" customWidth="1"/>
    <col min="14597" max="14598" width="10.25" style="835" customWidth="1"/>
    <col min="14599" max="14599" width="12" style="835" customWidth="1"/>
    <col min="14600" max="14848" width="9" style="835"/>
    <col min="14849" max="14849" width="3.875" style="835" customWidth="1"/>
    <col min="14850" max="14850" width="53.5" style="835" customWidth="1"/>
    <col min="14851" max="14851" width="7.125" style="835" customWidth="1"/>
    <col min="14852" max="14852" width="12" style="835" customWidth="1"/>
    <col min="14853" max="14854" width="10.25" style="835" customWidth="1"/>
    <col min="14855" max="14855" width="12" style="835" customWidth="1"/>
    <col min="14856" max="15104" width="9" style="835"/>
    <col min="15105" max="15105" width="3.875" style="835" customWidth="1"/>
    <col min="15106" max="15106" width="53.5" style="835" customWidth="1"/>
    <col min="15107" max="15107" width="7.125" style="835" customWidth="1"/>
    <col min="15108" max="15108" width="12" style="835" customWidth="1"/>
    <col min="15109" max="15110" width="10.25" style="835" customWidth="1"/>
    <col min="15111" max="15111" width="12" style="835" customWidth="1"/>
    <col min="15112" max="15360" width="9" style="835"/>
    <col min="15361" max="15361" width="3.875" style="835" customWidth="1"/>
    <col min="15362" max="15362" width="53.5" style="835" customWidth="1"/>
    <col min="15363" max="15363" width="7.125" style="835" customWidth="1"/>
    <col min="15364" max="15364" width="12" style="835" customWidth="1"/>
    <col min="15365" max="15366" width="10.25" style="835" customWidth="1"/>
    <col min="15367" max="15367" width="12" style="835" customWidth="1"/>
    <col min="15368" max="15616" width="9" style="835"/>
    <col min="15617" max="15617" width="3.875" style="835" customWidth="1"/>
    <col min="15618" max="15618" width="53.5" style="835" customWidth="1"/>
    <col min="15619" max="15619" width="7.125" style="835" customWidth="1"/>
    <col min="15620" max="15620" width="12" style="835" customWidth="1"/>
    <col min="15621" max="15622" width="10.25" style="835" customWidth="1"/>
    <col min="15623" max="15623" width="12" style="835" customWidth="1"/>
    <col min="15624" max="15872" width="9" style="835"/>
    <col min="15873" max="15873" width="3.875" style="835" customWidth="1"/>
    <col min="15874" max="15874" width="53.5" style="835" customWidth="1"/>
    <col min="15875" max="15875" width="7.125" style="835" customWidth="1"/>
    <col min="15876" max="15876" width="12" style="835" customWidth="1"/>
    <col min="15877" max="15878" width="10.25" style="835" customWidth="1"/>
    <col min="15879" max="15879" width="12" style="835" customWidth="1"/>
    <col min="15880" max="16128" width="9" style="835"/>
    <col min="16129" max="16129" width="3.875" style="835" customWidth="1"/>
    <col min="16130" max="16130" width="53.5" style="835" customWidth="1"/>
    <col min="16131" max="16131" width="7.125" style="835" customWidth="1"/>
    <col min="16132" max="16132" width="12" style="835" customWidth="1"/>
    <col min="16133" max="16134" width="10.25" style="835" customWidth="1"/>
    <col min="16135" max="16135" width="12" style="835" customWidth="1"/>
    <col min="16136" max="16384" width="9" style="835"/>
  </cols>
  <sheetData>
    <row r="1" spans="1:7">
      <c r="A1" s="7"/>
      <c r="B1" s="832"/>
      <c r="C1" s="833"/>
      <c r="D1" s="834"/>
      <c r="E1" s="834" t="s">
        <v>1129</v>
      </c>
      <c r="F1" s="834"/>
      <c r="G1" s="834"/>
    </row>
    <row r="2" spans="1:7">
      <c r="A2" s="7"/>
      <c r="B2" s="832"/>
      <c r="C2" s="833"/>
      <c r="D2" s="836"/>
      <c r="E2" s="836" t="s">
        <v>1130</v>
      </c>
      <c r="F2" s="834"/>
      <c r="G2" s="834"/>
    </row>
    <row r="3" spans="1:7">
      <c r="A3" s="7"/>
      <c r="B3" s="832"/>
      <c r="C3" s="833"/>
      <c r="D3" s="834"/>
      <c r="E3" s="834" t="s">
        <v>1131</v>
      </c>
      <c r="F3" s="834"/>
      <c r="G3" s="834"/>
    </row>
    <row r="4" spans="1:7">
      <c r="A4" s="7"/>
      <c r="B4" s="832"/>
      <c r="C4" s="833"/>
      <c r="D4" s="833"/>
      <c r="E4" s="834"/>
      <c r="F4" s="834"/>
      <c r="G4" s="834"/>
    </row>
    <row r="5" spans="1:7">
      <c r="A5" s="7"/>
      <c r="B5" s="832"/>
      <c r="C5" s="833"/>
      <c r="D5" s="833"/>
      <c r="E5" s="834"/>
      <c r="F5" s="834"/>
      <c r="G5" s="834"/>
    </row>
    <row r="6" spans="1:7" ht="18.75">
      <c r="A6" s="1119" t="s">
        <v>1132</v>
      </c>
      <c r="B6" s="1119"/>
      <c r="C6" s="1119"/>
      <c r="D6" s="1119"/>
      <c r="E6" s="1119"/>
      <c r="F6" s="1119"/>
      <c r="G6" s="1119"/>
    </row>
    <row r="7" spans="1:7" ht="18.75">
      <c r="A7" s="1119" t="s">
        <v>277</v>
      </c>
      <c r="B7" s="1119"/>
      <c r="C7" s="1119"/>
      <c r="D7" s="1119"/>
      <c r="E7" s="1119"/>
      <c r="F7" s="1119"/>
      <c r="G7" s="1119"/>
    </row>
    <row r="8" spans="1:7">
      <c r="A8" s="7"/>
      <c r="B8" s="832"/>
      <c r="C8" s="833"/>
      <c r="D8" s="833"/>
      <c r="E8" s="834"/>
      <c r="F8" s="834"/>
      <c r="G8" s="834"/>
    </row>
    <row r="9" spans="1:7" s="870" customFormat="1" ht="14.25" customHeight="1">
      <c r="A9" s="868"/>
      <c r="B9" s="833"/>
      <c r="C9" s="833"/>
      <c r="D9" s="833"/>
      <c r="E9" s="869"/>
      <c r="F9" s="869"/>
      <c r="G9" s="868" t="s">
        <v>15</v>
      </c>
    </row>
    <row r="10" spans="1:7" s="872" customFormat="1" ht="44.25" customHeight="1">
      <c r="A10" s="871" t="s">
        <v>700</v>
      </c>
      <c r="B10" s="871" t="s">
        <v>1133</v>
      </c>
      <c r="C10" s="871" t="s">
        <v>918</v>
      </c>
      <c r="D10" s="871" t="s">
        <v>1134</v>
      </c>
      <c r="E10" s="871" t="s">
        <v>207</v>
      </c>
      <c r="F10" s="871" t="s">
        <v>208</v>
      </c>
      <c r="G10" s="871" t="s">
        <v>1135</v>
      </c>
    </row>
    <row r="11" spans="1:7" s="838" customFormat="1">
      <c r="A11" s="837" t="s">
        <v>1136</v>
      </c>
      <c r="B11" s="837" t="s">
        <v>1137</v>
      </c>
      <c r="C11" s="837" t="s">
        <v>1138</v>
      </c>
      <c r="D11" s="837" t="s">
        <v>1139</v>
      </c>
      <c r="E11" s="837" t="s">
        <v>1140</v>
      </c>
      <c r="F11" s="837" t="s">
        <v>1141</v>
      </c>
      <c r="G11" s="837" t="s">
        <v>1142</v>
      </c>
    </row>
    <row r="12" spans="1:7" s="845" customFormat="1" ht="46.5" customHeight="1">
      <c r="A12" s="839" t="s">
        <v>1136</v>
      </c>
      <c r="B12" s="840" t="s">
        <v>1143</v>
      </c>
      <c r="C12" s="841">
        <v>80147</v>
      </c>
      <c r="D12" s="842">
        <v>0</v>
      </c>
      <c r="E12" s="843">
        <v>26000</v>
      </c>
      <c r="F12" s="843">
        <v>26000</v>
      </c>
      <c r="G12" s="844">
        <f>D12+E12-F12</f>
        <v>0</v>
      </c>
    </row>
    <row r="13" spans="1:7" s="845" customFormat="1" ht="46.5" customHeight="1">
      <c r="A13" s="839" t="s">
        <v>1137</v>
      </c>
      <c r="B13" s="840" t="s">
        <v>1144</v>
      </c>
      <c r="C13" s="841">
        <v>80146</v>
      </c>
      <c r="D13" s="842">
        <v>0</v>
      </c>
      <c r="E13" s="843">
        <v>400000</v>
      </c>
      <c r="F13" s="843">
        <v>400000</v>
      </c>
      <c r="G13" s="844">
        <f>D13+E13-F13</f>
        <v>0</v>
      </c>
    </row>
    <row r="14" spans="1:7" s="845" customFormat="1" ht="46.5" customHeight="1">
      <c r="A14" s="839" t="s">
        <v>1138</v>
      </c>
      <c r="B14" s="840" t="s">
        <v>1145</v>
      </c>
      <c r="C14" s="841">
        <v>80146</v>
      </c>
      <c r="D14" s="842">
        <v>0</v>
      </c>
      <c r="E14" s="843">
        <v>300000</v>
      </c>
      <c r="F14" s="843">
        <v>300000</v>
      </c>
      <c r="G14" s="844">
        <f>D14+E14-F14</f>
        <v>0</v>
      </c>
    </row>
    <row r="15" spans="1:7" s="845" customFormat="1" ht="46.5" customHeight="1">
      <c r="A15" s="846" t="s">
        <v>1139</v>
      </c>
      <c r="B15" s="847" t="s">
        <v>1146</v>
      </c>
      <c r="C15" s="841" t="s">
        <v>421</v>
      </c>
      <c r="D15" s="843">
        <f>D16+D17</f>
        <v>0</v>
      </c>
      <c r="E15" s="843">
        <f>E16+E17</f>
        <v>130300</v>
      </c>
      <c r="F15" s="843">
        <f>F16+F17</f>
        <v>130300</v>
      </c>
      <c r="G15" s="843">
        <f>G16+G17</f>
        <v>0</v>
      </c>
    </row>
    <row r="16" spans="1:7" s="854" customFormat="1" ht="30" customHeight="1">
      <c r="A16" s="848"/>
      <c r="B16" s="849"/>
      <c r="C16" s="850">
        <v>80146</v>
      </c>
      <c r="D16" s="851">
        <v>0</v>
      </c>
      <c r="E16" s="852">
        <v>123800</v>
      </c>
      <c r="F16" s="852">
        <v>123800</v>
      </c>
      <c r="G16" s="853">
        <v>0</v>
      </c>
    </row>
    <row r="17" spans="1:7" s="854" customFormat="1" ht="30" customHeight="1">
      <c r="A17" s="855"/>
      <c r="B17" s="856"/>
      <c r="C17" s="850">
        <v>80147</v>
      </c>
      <c r="D17" s="851">
        <v>0</v>
      </c>
      <c r="E17" s="852">
        <v>6500</v>
      </c>
      <c r="F17" s="852">
        <v>6500</v>
      </c>
      <c r="G17" s="853">
        <v>0</v>
      </c>
    </row>
    <row r="18" spans="1:7" s="845" customFormat="1" ht="46.5" customHeight="1">
      <c r="A18" s="839" t="s">
        <v>1140</v>
      </c>
      <c r="B18" s="840" t="s">
        <v>1147</v>
      </c>
      <c r="C18" s="841">
        <v>85410</v>
      </c>
      <c r="D18" s="842">
        <v>0</v>
      </c>
      <c r="E18" s="843">
        <v>675500</v>
      </c>
      <c r="F18" s="843">
        <v>675500</v>
      </c>
      <c r="G18" s="844">
        <f>D18+E18-F18</f>
        <v>0</v>
      </c>
    </row>
    <row r="19" spans="1:7" s="845" customFormat="1" ht="46.5" customHeight="1">
      <c r="A19" s="839" t="s">
        <v>1141</v>
      </c>
      <c r="B19" s="840" t="s">
        <v>1148</v>
      </c>
      <c r="C19" s="841">
        <v>85403</v>
      </c>
      <c r="D19" s="842">
        <v>0</v>
      </c>
      <c r="E19" s="843">
        <v>264000</v>
      </c>
      <c r="F19" s="843">
        <v>264000</v>
      </c>
      <c r="G19" s="844">
        <f>D19+E19-F19</f>
        <v>0</v>
      </c>
    </row>
    <row r="20" spans="1:7" s="858" customFormat="1" ht="46.5" customHeight="1">
      <c r="A20" s="839" t="s">
        <v>1142</v>
      </c>
      <c r="B20" s="857" t="s">
        <v>1149</v>
      </c>
      <c r="C20" s="841">
        <v>85403</v>
      </c>
      <c r="D20" s="842">
        <v>0</v>
      </c>
      <c r="E20" s="843">
        <v>616000</v>
      </c>
      <c r="F20" s="843">
        <v>616000</v>
      </c>
      <c r="G20" s="844">
        <f>D20+E20-F20</f>
        <v>0</v>
      </c>
    </row>
    <row r="21" spans="1:7" s="858" customFormat="1" ht="46.5" customHeight="1">
      <c r="A21" s="839" t="s">
        <v>1150</v>
      </c>
      <c r="B21" s="857" t="s">
        <v>1151</v>
      </c>
      <c r="C21" s="841">
        <v>85403</v>
      </c>
      <c r="D21" s="842">
        <v>0</v>
      </c>
      <c r="E21" s="843">
        <v>255000</v>
      </c>
      <c r="F21" s="843">
        <v>255000</v>
      </c>
      <c r="G21" s="844">
        <f>D21+E21-F21</f>
        <v>0</v>
      </c>
    </row>
    <row r="22" spans="1:7" s="845" customFormat="1" ht="46.5" customHeight="1">
      <c r="A22" s="846" t="s">
        <v>1152</v>
      </c>
      <c r="B22" s="847" t="s">
        <v>1153</v>
      </c>
      <c r="C22" s="841" t="s">
        <v>421</v>
      </c>
      <c r="D22" s="843">
        <f>D23+D24</f>
        <v>0</v>
      </c>
      <c r="E22" s="843">
        <f>E23+E24</f>
        <v>20000</v>
      </c>
      <c r="F22" s="843">
        <f>F23+F24</f>
        <v>20000</v>
      </c>
      <c r="G22" s="843">
        <f>G23+G24</f>
        <v>0</v>
      </c>
    </row>
    <row r="23" spans="1:7" s="854" customFormat="1" ht="30" customHeight="1">
      <c r="A23" s="848"/>
      <c r="B23" s="849"/>
      <c r="C23" s="850">
        <v>80116</v>
      </c>
      <c r="D23" s="851">
        <v>0</v>
      </c>
      <c r="E23" s="852">
        <v>2000</v>
      </c>
      <c r="F23" s="852">
        <v>2000</v>
      </c>
      <c r="G23" s="853">
        <v>0</v>
      </c>
    </row>
    <row r="24" spans="1:7" s="854" customFormat="1" ht="30" customHeight="1">
      <c r="A24" s="855"/>
      <c r="B24" s="856"/>
      <c r="C24" s="850">
        <v>80140</v>
      </c>
      <c r="D24" s="851">
        <v>0</v>
      </c>
      <c r="E24" s="852">
        <v>18000</v>
      </c>
      <c r="F24" s="852">
        <v>18000</v>
      </c>
      <c r="G24" s="853">
        <v>0</v>
      </c>
    </row>
    <row r="25" spans="1:7" s="845" customFormat="1" ht="46.5" customHeight="1">
      <c r="A25" s="846" t="s">
        <v>1154</v>
      </c>
      <c r="B25" s="847" t="s">
        <v>1155</v>
      </c>
      <c r="C25" s="841" t="s">
        <v>421</v>
      </c>
      <c r="D25" s="843">
        <f>D26+D27</f>
        <v>0</v>
      </c>
      <c r="E25" s="843">
        <f>E26+E27</f>
        <v>77000</v>
      </c>
      <c r="F25" s="843">
        <f>F26+F27</f>
        <v>77000</v>
      </c>
      <c r="G25" s="843">
        <f>G26+G27</f>
        <v>0</v>
      </c>
    </row>
    <row r="26" spans="1:7" s="854" customFormat="1" ht="30" customHeight="1">
      <c r="A26" s="848"/>
      <c r="B26" s="849"/>
      <c r="C26" s="850">
        <v>80116</v>
      </c>
      <c r="D26" s="851">
        <v>0</v>
      </c>
      <c r="E26" s="852">
        <v>7000</v>
      </c>
      <c r="F26" s="852">
        <v>7000</v>
      </c>
      <c r="G26" s="853">
        <v>0</v>
      </c>
    </row>
    <row r="27" spans="1:7" s="854" customFormat="1" ht="30" customHeight="1">
      <c r="A27" s="855"/>
      <c r="B27" s="856"/>
      <c r="C27" s="850">
        <v>80140</v>
      </c>
      <c r="D27" s="851">
        <v>0</v>
      </c>
      <c r="E27" s="852">
        <v>70000</v>
      </c>
      <c r="F27" s="852">
        <v>70000</v>
      </c>
      <c r="G27" s="853">
        <v>0</v>
      </c>
    </row>
    <row r="28" spans="1:7" s="845" customFormat="1" ht="46.5" customHeight="1">
      <c r="A28" s="839" t="s">
        <v>1156</v>
      </c>
      <c r="B28" s="840" t="s">
        <v>1157</v>
      </c>
      <c r="C28" s="841">
        <v>80147</v>
      </c>
      <c r="D28" s="842">
        <v>0</v>
      </c>
      <c r="E28" s="843">
        <v>17000</v>
      </c>
      <c r="F28" s="843">
        <v>17000</v>
      </c>
      <c r="G28" s="844">
        <f>D28+E28-F28</f>
        <v>0</v>
      </c>
    </row>
    <row r="29" spans="1:7" s="863" customFormat="1" ht="46.5" customHeight="1">
      <c r="A29" s="859"/>
      <c r="B29" s="860" t="s">
        <v>498</v>
      </c>
      <c r="C29" s="861"/>
      <c r="D29" s="862">
        <f>D12+D13+D14+D15+D18+D28+D19+D20+D21+D22+D25</f>
        <v>0</v>
      </c>
      <c r="E29" s="862">
        <f>E12+E13+E14+E15+E18+E28+E19+E20+E21+E22+E25</f>
        <v>2780800</v>
      </c>
      <c r="F29" s="862">
        <f>F12+F13+F14+F15+F18+F28+F19+F20+F21+F22+F25</f>
        <v>2780800</v>
      </c>
      <c r="G29" s="862">
        <f>G12+G13+G14+G15+G18+G28+G19+G20+G21+G22+G25</f>
        <v>0</v>
      </c>
    </row>
  </sheetData>
  <sheetProtection algorithmName="SHA-512" hashValue="BoI3ZdhKpI+p6zyOdsPkKioElMdPkUOpjGjqC2hXGHqCaz5zeuaO+32zlkJfQkQaCC+Kq2WA1Fz9bfszfZs1Pw==" saltValue="KrCjdpmfpD+2c0XNtnBJ1w==" spinCount="100000" sheet="1" objects="1" scenarios="1"/>
  <mergeCells count="2">
    <mergeCell ref="A6:G6"/>
    <mergeCell ref="A7:G7"/>
  </mergeCells>
  <printOptions horizontalCentered="1"/>
  <pageMargins left="0.78740157480314965" right="0.78740157480314965" top="0.98425196850393704" bottom="0.74803149606299213" header="0.51181102362204722" footer="0.51181102362204722"/>
  <pageSetup paperSize="9" scale="71" fitToHeight="2" orientation="portrait" r:id="rId1"/>
  <headerFooter alignWithMargins="0"/>
  <rowBreaks count="1" manualBreakCount="1">
    <brk id="19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2"/>
  <sheetViews>
    <sheetView view="pageBreakPreview" topLeftCell="A34" zoomScaleNormal="100" zoomScaleSheetLayoutView="100" workbookViewId="0">
      <selection activeCell="C50" sqref="C50"/>
    </sheetView>
  </sheetViews>
  <sheetFormatPr defaultColWidth="9" defaultRowHeight="15"/>
  <cols>
    <col min="1" max="1" width="10.125" style="184" customWidth="1"/>
    <col min="2" max="2" width="9.375" style="185" customWidth="1"/>
    <col min="3" max="3" width="62.5" style="190" customWidth="1"/>
    <col min="4" max="4" width="15.125" style="191" customWidth="1"/>
    <col min="5" max="16384" width="9" style="186"/>
  </cols>
  <sheetData>
    <row r="1" spans="1:8">
      <c r="C1" s="916" t="s">
        <v>206</v>
      </c>
      <c r="D1" s="916"/>
    </row>
    <row r="2" spans="1:8">
      <c r="C2" s="916" t="s">
        <v>278</v>
      </c>
      <c r="D2" s="916"/>
    </row>
    <row r="3" spans="1:8">
      <c r="C3" s="916" t="s">
        <v>279</v>
      </c>
      <c r="D3" s="916"/>
    </row>
    <row r="4" spans="1:8" ht="6.75" customHeight="1">
      <c r="C4" s="187"/>
      <c r="D4" s="188"/>
    </row>
    <row r="5" spans="1:8" ht="18.75">
      <c r="A5" s="917" t="s">
        <v>123</v>
      </c>
      <c r="B5" s="917"/>
      <c r="C5" s="917"/>
      <c r="D5" s="917"/>
    </row>
    <row r="6" spans="1:8" ht="18.75">
      <c r="A6" s="917" t="s">
        <v>277</v>
      </c>
      <c r="B6" s="917"/>
      <c r="C6" s="917"/>
      <c r="D6" s="917"/>
    </row>
    <row r="7" spans="1:8" ht="15" customHeight="1">
      <c r="A7" s="189"/>
      <c r="B7" s="189"/>
      <c r="C7" s="189"/>
      <c r="D7" s="189" t="s">
        <v>15</v>
      </c>
    </row>
    <row r="8" spans="1:8" s="219" customFormat="1" ht="25.5">
      <c r="A8" s="686" t="s">
        <v>124</v>
      </c>
      <c r="B8" s="686" t="s">
        <v>125</v>
      </c>
      <c r="C8" s="687" t="s">
        <v>16</v>
      </c>
      <c r="D8" s="688" t="s">
        <v>126</v>
      </c>
    </row>
    <row r="9" spans="1:8" s="223" customFormat="1" ht="13.5" customHeight="1">
      <c r="A9" s="220" t="s">
        <v>18</v>
      </c>
      <c r="B9" s="220" t="s">
        <v>19</v>
      </c>
      <c r="C9" s="221">
        <v>3</v>
      </c>
      <c r="D9" s="222">
        <v>4</v>
      </c>
    </row>
    <row r="10" spans="1:8" s="223" customFormat="1" ht="17.25" customHeight="1">
      <c r="A10" s="220"/>
      <c r="B10" s="220"/>
      <c r="C10" s="224" t="s">
        <v>127</v>
      </c>
      <c r="D10" s="225">
        <f>D11+D20+D26+D50+D54+D60+D70+D85+D88+D98+D129+D153+D159+D165+D176+D183+D186+D206+D215</f>
        <v>1766723961</v>
      </c>
    </row>
    <row r="11" spans="1:8" s="230" customFormat="1" ht="17.25" customHeight="1">
      <c r="A11" s="226" t="s">
        <v>289</v>
      </c>
      <c r="B11" s="226" t="s">
        <v>128</v>
      </c>
      <c r="C11" s="227" t="s">
        <v>62</v>
      </c>
      <c r="D11" s="228">
        <f>D12+D14+D17</f>
        <v>16220000</v>
      </c>
      <c r="E11" s="229"/>
      <c r="F11" s="229"/>
      <c r="G11" s="229" t="s">
        <v>128</v>
      </c>
      <c r="H11" s="229" t="s">
        <v>128</v>
      </c>
    </row>
    <row r="12" spans="1:8" s="230" customFormat="1" ht="17.25" customHeight="1">
      <c r="A12" s="231" t="s">
        <v>290</v>
      </c>
      <c r="B12" s="231" t="s">
        <v>128</v>
      </c>
      <c r="C12" s="232" t="s">
        <v>291</v>
      </c>
      <c r="D12" s="233">
        <f>D13</f>
        <v>50000</v>
      </c>
      <c r="E12" s="229"/>
      <c r="F12" s="229"/>
      <c r="G12" s="229" t="s">
        <v>128</v>
      </c>
      <c r="H12" s="229" t="s">
        <v>128</v>
      </c>
    </row>
    <row r="13" spans="1:8" s="238" customFormat="1" ht="30" customHeight="1">
      <c r="A13" s="234" t="s">
        <v>128</v>
      </c>
      <c r="B13" s="234">
        <v>2210</v>
      </c>
      <c r="C13" s="235" t="s">
        <v>134</v>
      </c>
      <c r="D13" s="236">
        <v>50000</v>
      </c>
      <c r="E13" s="237"/>
      <c r="F13" s="237"/>
      <c r="G13" s="237" t="s">
        <v>128</v>
      </c>
      <c r="H13" s="237" t="s">
        <v>128</v>
      </c>
    </row>
    <row r="14" spans="1:8" s="230" customFormat="1" ht="12.75">
      <c r="A14" s="231" t="s">
        <v>63</v>
      </c>
      <c r="B14" s="231" t="s">
        <v>128</v>
      </c>
      <c r="C14" s="232" t="s">
        <v>129</v>
      </c>
      <c r="D14" s="233">
        <f>D15+D16</f>
        <v>8170000</v>
      </c>
      <c r="E14" s="229"/>
      <c r="F14" s="229"/>
      <c r="G14" s="229" t="s">
        <v>128</v>
      </c>
      <c r="H14" s="229" t="s">
        <v>128</v>
      </c>
    </row>
    <row r="15" spans="1:8" s="238" customFormat="1" ht="42.95" customHeight="1">
      <c r="A15" s="234" t="s">
        <v>128</v>
      </c>
      <c r="B15" s="234">
        <v>2058</v>
      </c>
      <c r="C15" s="235" t="s">
        <v>131</v>
      </c>
      <c r="D15" s="236">
        <v>5199000</v>
      </c>
      <c r="E15" s="237"/>
      <c r="F15" s="237"/>
      <c r="G15" s="237" t="s">
        <v>128</v>
      </c>
      <c r="H15" s="237" t="s">
        <v>128</v>
      </c>
    </row>
    <row r="16" spans="1:8" s="238" customFormat="1" ht="42.95" customHeight="1">
      <c r="A16" s="234" t="s">
        <v>128</v>
      </c>
      <c r="B16" s="234">
        <v>2059</v>
      </c>
      <c r="C16" s="235" t="s">
        <v>131</v>
      </c>
      <c r="D16" s="236">
        <v>2971000</v>
      </c>
      <c r="E16" s="237"/>
      <c r="F16" s="237"/>
      <c r="G16" s="237" t="s">
        <v>128</v>
      </c>
      <c r="H16" s="237" t="s">
        <v>128</v>
      </c>
    </row>
    <row r="17" spans="1:8" s="230" customFormat="1" ht="16.5" customHeight="1">
      <c r="A17" s="231" t="s">
        <v>64</v>
      </c>
      <c r="B17" s="231" t="s">
        <v>128</v>
      </c>
      <c r="C17" s="232" t="s">
        <v>65</v>
      </c>
      <c r="D17" s="233">
        <f>D18+D19</f>
        <v>8000000</v>
      </c>
      <c r="E17" s="229"/>
      <c r="F17" s="229"/>
      <c r="G17" s="229" t="s">
        <v>128</v>
      </c>
      <c r="H17" s="229" t="s">
        <v>128</v>
      </c>
    </row>
    <row r="18" spans="1:8" s="238" customFormat="1" ht="16.5" customHeight="1">
      <c r="A18" s="234" t="s">
        <v>128</v>
      </c>
      <c r="B18" s="234" t="s">
        <v>47</v>
      </c>
      <c r="C18" s="235" t="s">
        <v>48</v>
      </c>
      <c r="D18" s="236">
        <v>7970000</v>
      </c>
      <c r="E18" s="237"/>
      <c r="F18" s="237"/>
      <c r="G18" s="237" t="s">
        <v>128</v>
      </c>
      <c r="H18" s="237" t="s">
        <v>128</v>
      </c>
    </row>
    <row r="19" spans="1:8" s="238" customFormat="1" ht="16.5" customHeight="1">
      <c r="A19" s="234" t="s">
        <v>128</v>
      </c>
      <c r="B19" s="234" t="s">
        <v>132</v>
      </c>
      <c r="C19" s="235" t="s">
        <v>133</v>
      </c>
      <c r="D19" s="236">
        <v>30000</v>
      </c>
      <c r="E19" s="237"/>
      <c r="F19" s="237"/>
      <c r="G19" s="237" t="s">
        <v>128</v>
      </c>
      <c r="H19" s="237" t="s">
        <v>128</v>
      </c>
    </row>
    <row r="20" spans="1:8" s="230" customFormat="1" ht="16.5" customHeight="1">
      <c r="A20" s="226" t="s">
        <v>21</v>
      </c>
      <c r="B20" s="226" t="s">
        <v>128</v>
      </c>
      <c r="C20" s="239" t="s">
        <v>22</v>
      </c>
      <c r="D20" s="228">
        <f>D21+D24</f>
        <v>149000</v>
      </c>
      <c r="E20" s="229"/>
      <c r="F20" s="229"/>
      <c r="G20" s="229" t="s">
        <v>128</v>
      </c>
      <c r="H20" s="229" t="s">
        <v>128</v>
      </c>
    </row>
    <row r="21" spans="1:8" s="230" customFormat="1" ht="45" customHeight="1">
      <c r="A21" s="231" t="s">
        <v>66</v>
      </c>
      <c r="B21" s="231" t="s">
        <v>128</v>
      </c>
      <c r="C21" s="232" t="s">
        <v>292</v>
      </c>
      <c r="D21" s="233">
        <f>D22+D23</f>
        <v>60000</v>
      </c>
      <c r="E21" s="229"/>
      <c r="F21" s="229"/>
      <c r="G21" s="229" t="s">
        <v>128</v>
      </c>
      <c r="H21" s="229" t="s">
        <v>128</v>
      </c>
    </row>
    <row r="22" spans="1:8" s="238" customFormat="1" ht="42.95" customHeight="1">
      <c r="A22" s="234" t="s">
        <v>128</v>
      </c>
      <c r="B22" s="234">
        <v>2058</v>
      </c>
      <c r="C22" s="235" t="s">
        <v>131</v>
      </c>
      <c r="D22" s="236">
        <v>42000</v>
      </c>
      <c r="E22" s="237"/>
      <c r="F22" s="237"/>
      <c r="G22" s="237" t="s">
        <v>128</v>
      </c>
      <c r="H22" s="237" t="s">
        <v>128</v>
      </c>
    </row>
    <row r="23" spans="1:8" s="238" customFormat="1" ht="42.95" customHeight="1">
      <c r="A23" s="234" t="s">
        <v>128</v>
      </c>
      <c r="B23" s="234">
        <v>2059</v>
      </c>
      <c r="C23" s="235" t="s">
        <v>131</v>
      </c>
      <c r="D23" s="236">
        <v>18000</v>
      </c>
      <c r="E23" s="237"/>
      <c r="F23" s="237"/>
      <c r="G23" s="237" t="s">
        <v>128</v>
      </c>
      <c r="H23" s="237" t="s">
        <v>128</v>
      </c>
    </row>
    <row r="24" spans="1:8" s="230" customFormat="1" ht="17.25" customHeight="1">
      <c r="A24" s="231" t="s">
        <v>60</v>
      </c>
      <c r="B24" s="231" t="s">
        <v>128</v>
      </c>
      <c r="C24" s="232" t="s">
        <v>46</v>
      </c>
      <c r="D24" s="233">
        <f>D25</f>
        <v>89000</v>
      </c>
      <c r="E24" s="229"/>
      <c r="F24" s="229"/>
      <c r="G24" s="229" t="s">
        <v>128</v>
      </c>
      <c r="H24" s="229" t="s">
        <v>128</v>
      </c>
    </row>
    <row r="25" spans="1:8" s="238" customFormat="1" ht="35.25" customHeight="1">
      <c r="A25" s="234" t="s">
        <v>128</v>
      </c>
      <c r="B25" s="234">
        <v>2210</v>
      </c>
      <c r="C25" s="235" t="s">
        <v>134</v>
      </c>
      <c r="D25" s="236">
        <v>89000</v>
      </c>
      <c r="E25" s="237"/>
      <c r="F25" s="237"/>
      <c r="G25" s="237" t="s">
        <v>128</v>
      </c>
      <c r="H25" s="237" t="s">
        <v>128</v>
      </c>
    </row>
    <row r="26" spans="1:8" s="230" customFormat="1" ht="15.75" customHeight="1">
      <c r="A26" s="226" t="s">
        <v>23</v>
      </c>
      <c r="B26" s="226" t="s">
        <v>128</v>
      </c>
      <c r="C26" s="239" t="s">
        <v>24</v>
      </c>
      <c r="D26" s="228">
        <f>D27+D30+D35+D47</f>
        <v>92288493</v>
      </c>
      <c r="E26" s="229"/>
      <c r="F26" s="229"/>
      <c r="G26" s="229" t="s">
        <v>128</v>
      </c>
      <c r="H26" s="229" t="s">
        <v>128</v>
      </c>
    </row>
    <row r="27" spans="1:8" s="230" customFormat="1" ht="15.75" customHeight="1">
      <c r="A27" s="231">
        <v>60001</v>
      </c>
      <c r="B27" s="231" t="s">
        <v>128</v>
      </c>
      <c r="C27" s="232" t="s">
        <v>68</v>
      </c>
      <c r="D27" s="233">
        <f>SUM(D28:D29)</f>
        <v>9077775</v>
      </c>
      <c r="E27" s="229"/>
      <c r="F27" s="229"/>
      <c r="G27" s="229" t="s">
        <v>128</v>
      </c>
      <c r="H27" s="229" t="s">
        <v>128</v>
      </c>
    </row>
    <row r="28" spans="1:8" s="238" customFormat="1" ht="45" customHeight="1">
      <c r="A28" s="234" t="s">
        <v>128</v>
      </c>
      <c r="B28" s="234" t="s">
        <v>136</v>
      </c>
      <c r="C28" s="235" t="s">
        <v>137</v>
      </c>
      <c r="D28" s="236">
        <v>2202775</v>
      </c>
      <c r="E28" s="237"/>
      <c r="F28" s="237"/>
      <c r="G28" s="237" t="s">
        <v>128</v>
      </c>
      <c r="H28" s="237" t="s">
        <v>128</v>
      </c>
    </row>
    <row r="29" spans="1:8" s="238" customFormat="1" ht="43.5" customHeight="1">
      <c r="A29" s="234" t="s">
        <v>128</v>
      </c>
      <c r="B29" s="234">
        <v>6290</v>
      </c>
      <c r="C29" s="235" t="s">
        <v>274</v>
      </c>
      <c r="D29" s="236">
        <v>6875000</v>
      </c>
      <c r="E29" s="237"/>
      <c r="F29" s="237"/>
      <c r="G29" s="237" t="s">
        <v>128</v>
      </c>
      <c r="H29" s="237" t="s">
        <v>128</v>
      </c>
    </row>
    <row r="30" spans="1:8" s="230" customFormat="1" ht="18" customHeight="1">
      <c r="A30" s="231">
        <v>60003</v>
      </c>
      <c r="B30" s="231" t="s">
        <v>128</v>
      </c>
      <c r="C30" s="232" t="s">
        <v>49</v>
      </c>
      <c r="D30" s="233">
        <f>SUM(D31:D34)</f>
        <v>43411038</v>
      </c>
      <c r="E30" s="229"/>
      <c r="F30" s="229"/>
      <c r="G30" s="229" t="s">
        <v>128</v>
      </c>
      <c r="H30" s="229" t="s">
        <v>128</v>
      </c>
    </row>
    <row r="31" spans="1:8" s="238" customFormat="1" ht="18" customHeight="1">
      <c r="A31" s="234" t="s">
        <v>128</v>
      </c>
      <c r="B31" s="234" t="s">
        <v>293</v>
      </c>
      <c r="C31" s="235" t="s">
        <v>294</v>
      </c>
      <c r="D31" s="236">
        <v>21963</v>
      </c>
      <c r="E31" s="237"/>
      <c r="F31" s="237"/>
      <c r="G31" s="237" t="s">
        <v>128</v>
      </c>
      <c r="H31" s="237" t="s">
        <v>128</v>
      </c>
    </row>
    <row r="32" spans="1:8" s="238" customFormat="1" ht="43.5" customHeight="1">
      <c r="A32" s="234" t="s">
        <v>128</v>
      </c>
      <c r="B32" s="234" t="s">
        <v>295</v>
      </c>
      <c r="C32" s="235" t="s">
        <v>296</v>
      </c>
      <c r="D32" s="236">
        <v>75</v>
      </c>
      <c r="E32" s="237"/>
      <c r="F32" s="237"/>
      <c r="G32" s="237" t="s">
        <v>128</v>
      </c>
      <c r="H32" s="237" t="s">
        <v>128</v>
      </c>
    </row>
    <row r="33" spans="1:8" s="238" customFormat="1" ht="29.25" customHeight="1">
      <c r="A33" s="234" t="s">
        <v>128</v>
      </c>
      <c r="B33" s="234">
        <v>2210</v>
      </c>
      <c r="C33" s="235" t="s">
        <v>134</v>
      </c>
      <c r="D33" s="236">
        <v>43221000</v>
      </c>
      <c r="E33" s="237"/>
      <c r="F33" s="237"/>
      <c r="G33" s="237" t="s">
        <v>128</v>
      </c>
      <c r="H33" s="237" t="s">
        <v>128</v>
      </c>
    </row>
    <row r="34" spans="1:8" s="238" customFormat="1" ht="43.5" customHeight="1">
      <c r="A34" s="234" t="s">
        <v>128</v>
      </c>
      <c r="B34" s="234">
        <v>2910</v>
      </c>
      <c r="C34" s="235" t="s">
        <v>297</v>
      </c>
      <c r="D34" s="236">
        <v>168000</v>
      </c>
      <c r="E34" s="237"/>
      <c r="F34" s="237"/>
      <c r="G34" s="237" t="s">
        <v>128</v>
      </c>
      <c r="H34" s="237" t="s">
        <v>128</v>
      </c>
    </row>
    <row r="35" spans="1:8" s="230" customFormat="1" ht="15.75" customHeight="1">
      <c r="A35" s="231">
        <v>60013</v>
      </c>
      <c r="B35" s="231" t="s">
        <v>128</v>
      </c>
      <c r="C35" s="232" t="s">
        <v>69</v>
      </c>
      <c r="D35" s="233">
        <f>SUM(D36:D46)</f>
        <v>39467930</v>
      </c>
      <c r="E35" s="229"/>
      <c r="F35" s="229"/>
      <c r="G35" s="229" t="s">
        <v>128</v>
      </c>
      <c r="H35" s="229" t="s">
        <v>128</v>
      </c>
    </row>
    <row r="36" spans="1:8" s="238" customFormat="1" ht="12.75">
      <c r="A36" s="234" t="s">
        <v>128</v>
      </c>
      <c r="B36" s="234" t="s">
        <v>140</v>
      </c>
      <c r="C36" s="235" t="s">
        <v>141</v>
      </c>
      <c r="D36" s="236">
        <v>1190</v>
      </c>
      <c r="E36" s="237"/>
      <c r="F36" s="237"/>
      <c r="G36" s="237" t="s">
        <v>128</v>
      </c>
      <c r="H36" s="237" t="s">
        <v>128</v>
      </c>
    </row>
    <row r="37" spans="1:8" s="238" customFormat="1" ht="12.75">
      <c r="A37" s="234" t="s">
        <v>128</v>
      </c>
      <c r="B37" s="234" t="s">
        <v>47</v>
      </c>
      <c r="C37" s="235" t="s">
        <v>48</v>
      </c>
      <c r="D37" s="236">
        <v>5100000</v>
      </c>
      <c r="E37" s="237"/>
      <c r="F37" s="237"/>
      <c r="G37" s="237" t="s">
        <v>128</v>
      </c>
      <c r="H37" s="237" t="s">
        <v>128</v>
      </c>
    </row>
    <row r="38" spans="1:8" s="238" customFormat="1" ht="42" customHeight="1">
      <c r="A38" s="234" t="s">
        <v>128</v>
      </c>
      <c r="B38" s="234" t="s">
        <v>136</v>
      </c>
      <c r="C38" s="235" t="s">
        <v>137</v>
      </c>
      <c r="D38" s="236">
        <v>24800</v>
      </c>
      <c r="E38" s="237"/>
      <c r="F38" s="237"/>
      <c r="G38" s="237" t="s">
        <v>128</v>
      </c>
      <c r="H38" s="237" t="s">
        <v>128</v>
      </c>
    </row>
    <row r="39" spans="1:8" s="238" customFormat="1" ht="16.5" customHeight="1">
      <c r="A39" s="234" t="s">
        <v>128</v>
      </c>
      <c r="B39" s="234" t="s">
        <v>142</v>
      </c>
      <c r="C39" s="235" t="s">
        <v>143</v>
      </c>
      <c r="D39" s="236">
        <v>60000</v>
      </c>
      <c r="E39" s="237"/>
      <c r="F39" s="237"/>
      <c r="G39" s="237" t="s">
        <v>128</v>
      </c>
      <c r="H39" s="237" t="s">
        <v>128</v>
      </c>
    </row>
    <row r="40" spans="1:8" s="238" customFormat="1" ht="16.5" customHeight="1">
      <c r="A40" s="234" t="s">
        <v>128</v>
      </c>
      <c r="B40" s="234" t="s">
        <v>132</v>
      </c>
      <c r="C40" s="235" t="s">
        <v>133</v>
      </c>
      <c r="D40" s="236">
        <v>5500</v>
      </c>
      <c r="E40" s="237"/>
      <c r="F40" s="237"/>
      <c r="G40" s="237" t="s">
        <v>128</v>
      </c>
      <c r="H40" s="237" t="s">
        <v>128</v>
      </c>
    </row>
    <row r="41" spans="1:8" s="238" customFormat="1" ht="16.5" customHeight="1">
      <c r="A41" s="240" t="s">
        <v>128</v>
      </c>
      <c r="B41" s="240" t="s">
        <v>273</v>
      </c>
      <c r="C41" s="241" t="s">
        <v>268</v>
      </c>
      <c r="D41" s="242">
        <v>17000</v>
      </c>
      <c r="E41" s="237"/>
      <c r="F41" s="237"/>
      <c r="G41" s="237" t="s">
        <v>128</v>
      </c>
      <c r="H41" s="237" t="s">
        <v>128</v>
      </c>
    </row>
    <row r="42" spans="1:8" s="238" customFormat="1" ht="16.5" customHeight="1">
      <c r="A42" s="243" t="s">
        <v>128</v>
      </c>
      <c r="B42" s="243" t="s">
        <v>144</v>
      </c>
      <c r="C42" s="244" t="s">
        <v>145</v>
      </c>
      <c r="D42" s="245">
        <v>134000</v>
      </c>
      <c r="E42" s="237"/>
      <c r="F42" s="237"/>
      <c r="G42" s="237" t="s">
        <v>128</v>
      </c>
      <c r="H42" s="237" t="s">
        <v>128</v>
      </c>
    </row>
    <row r="43" spans="1:8" s="238" customFormat="1" ht="16.5" customHeight="1">
      <c r="A43" s="234" t="s">
        <v>128</v>
      </c>
      <c r="B43" s="234" t="s">
        <v>4</v>
      </c>
      <c r="C43" s="235" t="s">
        <v>5</v>
      </c>
      <c r="D43" s="236">
        <v>30000</v>
      </c>
      <c r="E43" s="237"/>
      <c r="F43" s="237"/>
      <c r="G43" s="237" t="s">
        <v>128</v>
      </c>
      <c r="H43" s="237" t="s">
        <v>128</v>
      </c>
    </row>
    <row r="44" spans="1:8" s="238" customFormat="1" ht="40.5" customHeight="1">
      <c r="A44" s="234" t="s">
        <v>128</v>
      </c>
      <c r="B44" s="234">
        <v>6290</v>
      </c>
      <c r="C44" s="235" t="s">
        <v>274</v>
      </c>
      <c r="D44" s="236">
        <v>15327788</v>
      </c>
      <c r="E44" s="237"/>
      <c r="F44" s="237"/>
      <c r="G44" s="237" t="s">
        <v>128</v>
      </c>
      <c r="H44" s="237" t="s">
        <v>128</v>
      </c>
    </row>
    <row r="45" spans="1:8" s="238" customFormat="1" ht="40.5" customHeight="1">
      <c r="A45" s="234" t="s">
        <v>128</v>
      </c>
      <c r="B45" s="234">
        <v>6300</v>
      </c>
      <c r="C45" s="235" t="s">
        <v>146</v>
      </c>
      <c r="D45" s="236">
        <v>5942652</v>
      </c>
      <c r="E45" s="237"/>
      <c r="F45" s="237"/>
      <c r="G45" s="237" t="s">
        <v>128</v>
      </c>
      <c r="H45" s="237" t="s">
        <v>128</v>
      </c>
    </row>
    <row r="46" spans="1:8" s="238" customFormat="1" ht="30" customHeight="1">
      <c r="A46" s="234"/>
      <c r="B46" s="234" t="s">
        <v>1161</v>
      </c>
      <c r="C46" s="235" t="s">
        <v>1160</v>
      </c>
      <c r="D46" s="236">
        <v>12825000</v>
      </c>
      <c r="E46" s="237"/>
      <c r="F46" s="237"/>
      <c r="G46" s="237"/>
      <c r="H46" s="237"/>
    </row>
    <row r="47" spans="1:8" s="230" customFormat="1" ht="15.75" customHeight="1">
      <c r="A47" s="231">
        <v>60095</v>
      </c>
      <c r="B47" s="231" t="s">
        <v>128</v>
      </c>
      <c r="C47" s="232" t="s">
        <v>46</v>
      </c>
      <c r="D47" s="233">
        <f>SUM(D48:D49)</f>
        <v>331750</v>
      </c>
      <c r="E47" s="229"/>
      <c r="F47" s="229"/>
      <c r="G47" s="229" t="s">
        <v>128</v>
      </c>
      <c r="H47" s="229" t="s">
        <v>128</v>
      </c>
    </row>
    <row r="48" spans="1:8" s="238" customFormat="1" ht="29.25" customHeight="1">
      <c r="A48" s="234" t="s">
        <v>128</v>
      </c>
      <c r="B48" s="234">
        <v>2210</v>
      </c>
      <c r="C48" s="235" t="s">
        <v>134</v>
      </c>
      <c r="D48" s="236">
        <v>328000</v>
      </c>
      <c r="E48" s="237"/>
      <c r="F48" s="237"/>
      <c r="G48" s="237" t="s">
        <v>128</v>
      </c>
      <c r="H48" s="237" t="s">
        <v>128</v>
      </c>
    </row>
    <row r="49" spans="1:8" s="238" customFormat="1" ht="29.25" customHeight="1">
      <c r="A49" s="234" t="s">
        <v>128</v>
      </c>
      <c r="B49" s="234">
        <v>2360</v>
      </c>
      <c r="C49" s="235" t="s">
        <v>147</v>
      </c>
      <c r="D49" s="236">
        <v>3750</v>
      </c>
      <c r="E49" s="237"/>
      <c r="F49" s="237"/>
      <c r="G49" s="237" t="s">
        <v>128</v>
      </c>
      <c r="H49" s="237" t="s">
        <v>128</v>
      </c>
    </row>
    <row r="50" spans="1:8" s="230" customFormat="1" ht="15" customHeight="1">
      <c r="A50" s="226" t="s">
        <v>55</v>
      </c>
      <c r="B50" s="226" t="s">
        <v>128</v>
      </c>
      <c r="C50" s="246" t="s">
        <v>56</v>
      </c>
      <c r="D50" s="228">
        <f>D51</f>
        <v>212400</v>
      </c>
      <c r="E50" s="229"/>
      <c r="F50" s="229"/>
      <c r="G50" s="229" t="s">
        <v>128</v>
      </c>
      <c r="H50" s="229" t="s">
        <v>128</v>
      </c>
    </row>
    <row r="51" spans="1:8" s="230" customFormat="1" ht="15.75" customHeight="1">
      <c r="A51" s="231">
        <v>63095</v>
      </c>
      <c r="B51" s="231" t="s">
        <v>128</v>
      </c>
      <c r="C51" s="232" t="s">
        <v>46</v>
      </c>
      <c r="D51" s="233">
        <f>D52+D53</f>
        <v>212400</v>
      </c>
      <c r="E51" s="229"/>
      <c r="F51" s="229"/>
      <c r="G51" s="229" t="s">
        <v>128</v>
      </c>
      <c r="H51" s="229" t="s">
        <v>128</v>
      </c>
    </row>
    <row r="52" spans="1:8" s="238" customFormat="1" ht="31.5" customHeight="1">
      <c r="A52" s="234" t="s">
        <v>128</v>
      </c>
      <c r="B52" s="234">
        <v>2210</v>
      </c>
      <c r="C52" s="235" t="s">
        <v>134</v>
      </c>
      <c r="D52" s="236">
        <v>212000</v>
      </c>
      <c r="E52" s="237"/>
      <c r="F52" s="237"/>
      <c r="G52" s="237" t="s">
        <v>128</v>
      </c>
      <c r="H52" s="237" t="s">
        <v>128</v>
      </c>
    </row>
    <row r="53" spans="1:8" s="238" customFormat="1" ht="31.5" customHeight="1">
      <c r="A53" s="234" t="s">
        <v>128</v>
      </c>
      <c r="B53" s="234">
        <v>2360</v>
      </c>
      <c r="C53" s="235" t="s">
        <v>147</v>
      </c>
      <c r="D53" s="236">
        <v>400</v>
      </c>
      <c r="E53" s="237"/>
      <c r="F53" s="237"/>
      <c r="G53" s="237" t="s">
        <v>128</v>
      </c>
      <c r="H53" s="237" t="s">
        <v>128</v>
      </c>
    </row>
    <row r="54" spans="1:8" s="230" customFormat="1" ht="15.75" customHeight="1">
      <c r="A54" s="226" t="s">
        <v>25</v>
      </c>
      <c r="B54" s="226" t="s">
        <v>128</v>
      </c>
      <c r="C54" s="239" t="s">
        <v>26</v>
      </c>
      <c r="D54" s="228">
        <f>D55</f>
        <v>1179500</v>
      </c>
      <c r="E54" s="229"/>
      <c r="F54" s="229"/>
      <c r="G54" s="229" t="s">
        <v>128</v>
      </c>
      <c r="H54" s="229" t="s">
        <v>128</v>
      </c>
    </row>
    <row r="55" spans="1:8" s="230" customFormat="1" ht="15.75" customHeight="1">
      <c r="A55" s="231">
        <v>70005</v>
      </c>
      <c r="B55" s="231" t="s">
        <v>128</v>
      </c>
      <c r="C55" s="232" t="s">
        <v>70</v>
      </c>
      <c r="D55" s="233">
        <f>SUM(D56:D59)</f>
        <v>1179500</v>
      </c>
      <c r="E55" s="229"/>
      <c r="F55" s="229"/>
      <c r="G55" s="229" t="s">
        <v>128</v>
      </c>
      <c r="H55" s="229" t="s">
        <v>128</v>
      </c>
    </row>
    <row r="56" spans="1:8" s="238" customFormat="1" ht="15.75" customHeight="1">
      <c r="A56" s="234" t="s">
        <v>128</v>
      </c>
      <c r="B56" s="234" t="s">
        <v>148</v>
      </c>
      <c r="C56" s="235" t="s">
        <v>149</v>
      </c>
      <c r="D56" s="236">
        <v>300000</v>
      </c>
      <c r="E56" s="237"/>
      <c r="F56" s="237"/>
      <c r="G56" s="237" t="s">
        <v>128</v>
      </c>
      <c r="H56" s="237" t="s">
        <v>128</v>
      </c>
    </row>
    <row r="57" spans="1:8" s="238" customFormat="1" ht="15.75" customHeight="1">
      <c r="A57" s="234" t="s">
        <v>128</v>
      </c>
      <c r="B57" s="234" t="s">
        <v>150</v>
      </c>
      <c r="C57" s="235" t="s">
        <v>151</v>
      </c>
      <c r="D57" s="236">
        <v>120000</v>
      </c>
      <c r="E57" s="237"/>
      <c r="F57" s="237"/>
      <c r="G57" s="237" t="s">
        <v>128</v>
      </c>
      <c r="H57" s="237" t="s">
        <v>128</v>
      </c>
    </row>
    <row r="58" spans="1:8" s="238" customFormat="1" ht="42.75" customHeight="1">
      <c r="A58" s="234" t="s">
        <v>128</v>
      </c>
      <c r="B58" s="234" t="s">
        <v>136</v>
      </c>
      <c r="C58" s="235" t="s">
        <v>137</v>
      </c>
      <c r="D58" s="236">
        <v>750000</v>
      </c>
      <c r="E58" s="237"/>
      <c r="F58" s="237"/>
      <c r="G58" s="237" t="s">
        <v>128</v>
      </c>
      <c r="H58" s="237" t="s">
        <v>128</v>
      </c>
    </row>
    <row r="59" spans="1:8" s="238" customFormat="1" ht="17.25" customHeight="1">
      <c r="A59" s="234" t="s">
        <v>128</v>
      </c>
      <c r="B59" s="234" t="s">
        <v>152</v>
      </c>
      <c r="C59" s="235" t="s">
        <v>153</v>
      </c>
      <c r="D59" s="236">
        <v>9500</v>
      </c>
      <c r="E59" s="237"/>
      <c r="F59" s="237"/>
      <c r="G59" s="237" t="s">
        <v>128</v>
      </c>
      <c r="H59" s="237" t="s">
        <v>128</v>
      </c>
    </row>
    <row r="60" spans="1:8" s="230" customFormat="1" ht="15.75" customHeight="1">
      <c r="A60" s="226" t="s">
        <v>27</v>
      </c>
      <c r="B60" s="226" t="s">
        <v>128</v>
      </c>
      <c r="C60" s="239" t="s">
        <v>28</v>
      </c>
      <c r="D60" s="228">
        <f>D61+D64+D67</f>
        <v>462600</v>
      </c>
      <c r="E60" s="229"/>
      <c r="F60" s="229"/>
      <c r="G60" s="229" t="s">
        <v>128</v>
      </c>
      <c r="H60" s="229" t="s">
        <v>128</v>
      </c>
    </row>
    <row r="61" spans="1:8" s="230" customFormat="1" ht="15.75" customHeight="1">
      <c r="A61" s="231">
        <v>71003</v>
      </c>
      <c r="B61" s="231" t="s">
        <v>128</v>
      </c>
      <c r="C61" s="232" t="s">
        <v>71</v>
      </c>
      <c r="D61" s="233">
        <f>SUM(D62:D63)</f>
        <v>4100</v>
      </c>
      <c r="E61" s="229"/>
      <c r="F61" s="229"/>
      <c r="G61" s="229" t="s">
        <v>128</v>
      </c>
      <c r="H61" s="229" t="s">
        <v>128</v>
      </c>
    </row>
    <row r="62" spans="1:8" s="238" customFormat="1" ht="15.75" customHeight="1">
      <c r="A62" s="234" t="s">
        <v>128</v>
      </c>
      <c r="B62" s="234" t="s">
        <v>144</v>
      </c>
      <c r="C62" s="235" t="s">
        <v>145</v>
      </c>
      <c r="D62" s="236">
        <v>4000</v>
      </c>
      <c r="E62" s="237"/>
      <c r="F62" s="237"/>
      <c r="G62" s="237" t="s">
        <v>128</v>
      </c>
      <c r="H62" s="237" t="s">
        <v>128</v>
      </c>
    </row>
    <row r="63" spans="1:8" s="238" customFormat="1" ht="15.75" customHeight="1">
      <c r="A63" s="234" t="s">
        <v>128</v>
      </c>
      <c r="B63" s="234" t="s">
        <v>4</v>
      </c>
      <c r="C63" s="235" t="s">
        <v>5</v>
      </c>
      <c r="D63" s="236">
        <v>100</v>
      </c>
      <c r="E63" s="237"/>
      <c r="F63" s="237"/>
      <c r="G63" s="237" t="s">
        <v>128</v>
      </c>
      <c r="H63" s="237" t="s">
        <v>128</v>
      </c>
    </row>
    <row r="64" spans="1:8" s="230" customFormat="1" ht="15.75" customHeight="1">
      <c r="A64" s="231">
        <v>71005</v>
      </c>
      <c r="B64" s="231" t="s">
        <v>128</v>
      </c>
      <c r="C64" s="232" t="s">
        <v>50</v>
      </c>
      <c r="D64" s="233">
        <f>SUM(D65:D66)</f>
        <v>318500</v>
      </c>
      <c r="E64" s="229"/>
      <c r="F64" s="229"/>
      <c r="G64" s="229" t="s">
        <v>128</v>
      </c>
      <c r="H64" s="229" t="s">
        <v>128</v>
      </c>
    </row>
    <row r="65" spans="1:8" s="238" customFormat="1" ht="29.25" customHeight="1">
      <c r="A65" s="234" t="s">
        <v>128</v>
      </c>
      <c r="B65" s="234">
        <v>2210</v>
      </c>
      <c r="C65" s="235" t="s">
        <v>134</v>
      </c>
      <c r="D65" s="236">
        <v>317000</v>
      </c>
      <c r="E65" s="237"/>
      <c r="F65" s="237"/>
      <c r="G65" s="237" t="s">
        <v>128</v>
      </c>
      <c r="H65" s="237" t="s">
        <v>128</v>
      </c>
    </row>
    <row r="66" spans="1:8" s="238" customFormat="1" ht="29.25" customHeight="1">
      <c r="A66" s="234" t="s">
        <v>128</v>
      </c>
      <c r="B66" s="234">
        <v>2360</v>
      </c>
      <c r="C66" s="235" t="s">
        <v>147</v>
      </c>
      <c r="D66" s="236">
        <v>1500</v>
      </c>
      <c r="E66" s="237"/>
      <c r="F66" s="237"/>
      <c r="G66" s="237" t="s">
        <v>128</v>
      </c>
      <c r="H66" s="237" t="s">
        <v>128</v>
      </c>
    </row>
    <row r="67" spans="1:8" s="230" customFormat="1" ht="15" customHeight="1">
      <c r="A67" s="231">
        <v>71012</v>
      </c>
      <c r="B67" s="231" t="s">
        <v>128</v>
      </c>
      <c r="C67" s="232" t="s">
        <v>51</v>
      </c>
      <c r="D67" s="233">
        <f>D68+D69</f>
        <v>140000</v>
      </c>
      <c r="E67" s="229"/>
      <c r="F67" s="229"/>
      <c r="G67" s="229" t="s">
        <v>128</v>
      </c>
      <c r="H67" s="229" t="s">
        <v>128</v>
      </c>
    </row>
    <row r="68" spans="1:8" s="238" customFormat="1" ht="15" customHeight="1">
      <c r="A68" s="234" t="s">
        <v>128</v>
      </c>
      <c r="B68" s="234" t="s">
        <v>47</v>
      </c>
      <c r="C68" s="235" t="s">
        <v>48</v>
      </c>
      <c r="D68" s="236">
        <v>20000</v>
      </c>
      <c r="E68" s="237"/>
      <c r="F68" s="237"/>
      <c r="G68" s="237" t="s">
        <v>128</v>
      </c>
      <c r="H68" s="237" t="s">
        <v>128</v>
      </c>
    </row>
    <row r="69" spans="1:8" s="238" customFormat="1" ht="27.75" customHeight="1">
      <c r="A69" s="240" t="s">
        <v>128</v>
      </c>
      <c r="B69" s="240">
        <v>2210</v>
      </c>
      <c r="C69" s="241" t="s">
        <v>134</v>
      </c>
      <c r="D69" s="242">
        <v>120000</v>
      </c>
      <c r="E69" s="237"/>
      <c r="F69" s="237"/>
      <c r="G69" s="237" t="s">
        <v>128</v>
      </c>
      <c r="H69" s="237" t="s">
        <v>128</v>
      </c>
    </row>
    <row r="70" spans="1:8" s="230" customFormat="1" ht="15.75" customHeight="1">
      <c r="A70" s="226" t="s">
        <v>29</v>
      </c>
      <c r="B70" s="226" t="s">
        <v>128</v>
      </c>
      <c r="C70" s="239" t="s">
        <v>30</v>
      </c>
      <c r="D70" s="228">
        <f>D71+D78+D80+D82</f>
        <v>2051670</v>
      </c>
      <c r="E70" s="229"/>
      <c r="F70" s="229"/>
      <c r="G70" s="229" t="s">
        <v>128</v>
      </c>
      <c r="H70" s="229" t="s">
        <v>128</v>
      </c>
    </row>
    <row r="71" spans="1:8" s="230" customFormat="1" ht="15.75" customHeight="1">
      <c r="A71" s="231">
        <v>75018</v>
      </c>
      <c r="B71" s="231" t="s">
        <v>128</v>
      </c>
      <c r="C71" s="232" t="s">
        <v>73</v>
      </c>
      <c r="D71" s="233">
        <f>SUM(D72:D77)</f>
        <v>289220</v>
      </c>
      <c r="E71" s="229"/>
      <c r="F71" s="229"/>
      <c r="G71" s="229" t="s">
        <v>128</v>
      </c>
      <c r="H71" s="229" t="s">
        <v>128</v>
      </c>
    </row>
    <row r="72" spans="1:8" s="238" customFormat="1" ht="15.75" customHeight="1">
      <c r="A72" s="234" t="s">
        <v>128</v>
      </c>
      <c r="B72" s="234" t="s">
        <v>47</v>
      </c>
      <c r="C72" s="235" t="s">
        <v>48</v>
      </c>
      <c r="D72" s="236">
        <v>650</v>
      </c>
      <c r="E72" s="237"/>
      <c r="F72" s="237"/>
      <c r="G72" s="237" t="s">
        <v>128</v>
      </c>
      <c r="H72" s="237" t="s">
        <v>128</v>
      </c>
    </row>
    <row r="73" spans="1:8" s="238" customFormat="1" ht="41.25" customHeight="1">
      <c r="A73" s="234" t="s">
        <v>128</v>
      </c>
      <c r="B73" s="234" t="s">
        <v>136</v>
      </c>
      <c r="C73" s="235" t="s">
        <v>137</v>
      </c>
      <c r="D73" s="236">
        <v>75000</v>
      </c>
      <c r="E73" s="237"/>
      <c r="F73" s="237"/>
      <c r="G73" s="237" t="s">
        <v>128</v>
      </c>
      <c r="H73" s="237" t="s">
        <v>128</v>
      </c>
    </row>
    <row r="74" spans="1:8" s="238" customFormat="1" ht="15" customHeight="1">
      <c r="A74" s="234" t="s">
        <v>128</v>
      </c>
      <c r="B74" s="234" t="s">
        <v>156</v>
      </c>
      <c r="C74" s="235" t="s">
        <v>157</v>
      </c>
      <c r="D74" s="236">
        <v>80000</v>
      </c>
      <c r="E74" s="237"/>
      <c r="F74" s="237"/>
      <c r="G74" s="237" t="s">
        <v>128</v>
      </c>
      <c r="H74" s="237" t="s">
        <v>128</v>
      </c>
    </row>
    <row r="75" spans="1:8" s="238" customFormat="1" ht="15" customHeight="1">
      <c r="A75" s="234" t="s">
        <v>128</v>
      </c>
      <c r="B75" s="234" t="s">
        <v>144</v>
      </c>
      <c r="C75" s="235" t="s">
        <v>145</v>
      </c>
      <c r="D75" s="236">
        <v>10450</v>
      </c>
      <c r="E75" s="237"/>
      <c r="F75" s="237"/>
      <c r="G75" s="237" t="s">
        <v>128</v>
      </c>
      <c r="H75" s="237" t="s">
        <v>128</v>
      </c>
    </row>
    <row r="76" spans="1:8" s="238" customFormat="1" ht="15" customHeight="1">
      <c r="A76" s="234" t="s">
        <v>128</v>
      </c>
      <c r="B76" s="234" t="s">
        <v>4</v>
      </c>
      <c r="C76" s="235" t="s">
        <v>5</v>
      </c>
      <c r="D76" s="236">
        <v>36120</v>
      </c>
      <c r="E76" s="237"/>
      <c r="F76" s="237"/>
      <c r="G76" s="237" t="s">
        <v>128</v>
      </c>
      <c r="H76" s="237" t="s">
        <v>128</v>
      </c>
    </row>
    <row r="77" spans="1:8" s="238" customFormat="1" ht="28.5" customHeight="1">
      <c r="A77" s="234" t="s">
        <v>128</v>
      </c>
      <c r="B77" s="234">
        <v>2230</v>
      </c>
      <c r="C77" s="235" t="s">
        <v>158</v>
      </c>
      <c r="D77" s="236">
        <v>87000</v>
      </c>
      <c r="E77" s="237"/>
      <c r="F77" s="237"/>
      <c r="G77" s="237" t="s">
        <v>128</v>
      </c>
      <c r="H77" s="237" t="s">
        <v>128</v>
      </c>
    </row>
    <row r="78" spans="1:8" s="230" customFormat="1" ht="14.25" customHeight="1">
      <c r="A78" s="231">
        <v>75046</v>
      </c>
      <c r="B78" s="231" t="s">
        <v>128</v>
      </c>
      <c r="C78" s="232" t="s">
        <v>159</v>
      </c>
      <c r="D78" s="233">
        <f>D79</f>
        <v>450</v>
      </c>
      <c r="E78" s="229"/>
      <c r="F78" s="229"/>
      <c r="G78" s="229" t="s">
        <v>128</v>
      </c>
      <c r="H78" s="229" t="s">
        <v>128</v>
      </c>
    </row>
    <row r="79" spans="1:8" s="238" customFormat="1" ht="28.5" customHeight="1">
      <c r="A79" s="234" t="s">
        <v>128</v>
      </c>
      <c r="B79" s="234">
        <v>2360</v>
      </c>
      <c r="C79" s="235" t="s">
        <v>147</v>
      </c>
      <c r="D79" s="236">
        <v>450</v>
      </c>
      <c r="E79" s="237"/>
      <c r="F79" s="237"/>
      <c r="G79" s="237" t="s">
        <v>128</v>
      </c>
      <c r="H79" s="237" t="s">
        <v>128</v>
      </c>
    </row>
    <row r="80" spans="1:8" s="230" customFormat="1" ht="18" customHeight="1">
      <c r="A80" s="231">
        <v>75084</v>
      </c>
      <c r="B80" s="231" t="s">
        <v>128</v>
      </c>
      <c r="C80" s="232" t="s">
        <v>160</v>
      </c>
      <c r="D80" s="233">
        <f>D81</f>
        <v>202000</v>
      </c>
      <c r="E80" s="229"/>
      <c r="F80" s="229"/>
      <c r="G80" s="229" t="s">
        <v>128</v>
      </c>
      <c r="H80" s="229" t="s">
        <v>128</v>
      </c>
    </row>
    <row r="81" spans="1:8" s="238" customFormat="1" ht="30.75" customHeight="1">
      <c r="A81" s="234" t="s">
        <v>128</v>
      </c>
      <c r="B81" s="234">
        <v>2210</v>
      </c>
      <c r="C81" s="235" t="s">
        <v>134</v>
      </c>
      <c r="D81" s="236">
        <v>202000</v>
      </c>
      <c r="E81" s="237"/>
      <c r="F81" s="237"/>
      <c r="G81" s="237" t="s">
        <v>128</v>
      </c>
      <c r="H81" s="237" t="s">
        <v>128</v>
      </c>
    </row>
    <row r="82" spans="1:8" s="230" customFormat="1" ht="15" customHeight="1">
      <c r="A82" s="231">
        <v>75095</v>
      </c>
      <c r="B82" s="231" t="s">
        <v>128</v>
      </c>
      <c r="C82" s="232" t="s">
        <v>46</v>
      </c>
      <c r="D82" s="233">
        <f>D83+D84</f>
        <v>1560000</v>
      </c>
      <c r="E82" s="229"/>
      <c r="F82" s="229"/>
      <c r="G82" s="229" t="s">
        <v>128</v>
      </c>
      <c r="H82" s="229" t="s">
        <v>128</v>
      </c>
    </row>
    <row r="83" spans="1:8" s="238" customFormat="1" ht="42.95" customHeight="1">
      <c r="A83" s="240" t="s">
        <v>128</v>
      </c>
      <c r="B83" s="240">
        <v>2058</v>
      </c>
      <c r="C83" s="241" t="s">
        <v>131</v>
      </c>
      <c r="D83" s="242">
        <v>1243476</v>
      </c>
      <c r="E83" s="237"/>
      <c r="F83" s="237"/>
      <c r="G83" s="237" t="s">
        <v>128</v>
      </c>
      <c r="H83" s="237" t="s">
        <v>128</v>
      </c>
    </row>
    <row r="84" spans="1:8" s="238" customFormat="1" ht="42.95" customHeight="1">
      <c r="A84" s="259" t="s">
        <v>128</v>
      </c>
      <c r="B84" s="259">
        <v>2059</v>
      </c>
      <c r="C84" s="260" t="s">
        <v>131</v>
      </c>
      <c r="D84" s="261">
        <v>316524</v>
      </c>
      <c r="E84" s="237"/>
      <c r="F84" s="237"/>
      <c r="G84" s="237" t="s">
        <v>128</v>
      </c>
      <c r="H84" s="237" t="s">
        <v>128</v>
      </c>
    </row>
    <row r="85" spans="1:8" s="230" customFormat="1" ht="17.25" customHeight="1">
      <c r="A85" s="226" t="s">
        <v>31</v>
      </c>
      <c r="B85" s="226" t="s">
        <v>128</v>
      </c>
      <c r="C85" s="239" t="s">
        <v>32</v>
      </c>
      <c r="D85" s="228">
        <f>D86</f>
        <v>5000</v>
      </c>
      <c r="E85" s="229"/>
      <c r="F85" s="229"/>
      <c r="G85" s="229" t="s">
        <v>128</v>
      </c>
      <c r="H85" s="229" t="s">
        <v>128</v>
      </c>
    </row>
    <row r="86" spans="1:8" s="230" customFormat="1" ht="17.25" customHeight="1">
      <c r="A86" s="231">
        <v>75212</v>
      </c>
      <c r="B86" s="231" t="s">
        <v>128</v>
      </c>
      <c r="C86" s="232" t="s">
        <v>59</v>
      </c>
      <c r="D86" s="233">
        <f>D87</f>
        <v>5000</v>
      </c>
      <c r="E86" s="229"/>
      <c r="F86" s="229"/>
      <c r="G86" s="229" t="s">
        <v>128</v>
      </c>
      <c r="H86" s="229" t="s">
        <v>128</v>
      </c>
    </row>
    <row r="87" spans="1:8" s="238" customFormat="1" ht="31.5" customHeight="1">
      <c r="A87" s="240" t="s">
        <v>128</v>
      </c>
      <c r="B87" s="240">
        <v>2210</v>
      </c>
      <c r="C87" s="241" t="s">
        <v>134</v>
      </c>
      <c r="D87" s="242">
        <v>5000</v>
      </c>
      <c r="E87" s="237"/>
      <c r="F87" s="237"/>
      <c r="G87" s="237" t="s">
        <v>128</v>
      </c>
      <c r="H87" s="237" t="s">
        <v>128</v>
      </c>
    </row>
    <row r="88" spans="1:8" s="230" customFormat="1" ht="31.5" customHeight="1">
      <c r="A88" s="226" t="s">
        <v>117</v>
      </c>
      <c r="B88" s="226" t="s">
        <v>128</v>
      </c>
      <c r="C88" s="247" t="s">
        <v>118</v>
      </c>
      <c r="D88" s="228">
        <f>D89+D95</f>
        <v>799507011</v>
      </c>
      <c r="E88" s="229"/>
      <c r="F88" s="229"/>
      <c r="G88" s="229" t="s">
        <v>128</v>
      </c>
      <c r="H88" s="229" t="s">
        <v>128</v>
      </c>
    </row>
    <row r="89" spans="1:8" s="230" customFormat="1" ht="25.5">
      <c r="A89" s="231">
        <v>75618</v>
      </c>
      <c r="B89" s="231" t="s">
        <v>128</v>
      </c>
      <c r="C89" s="232" t="s">
        <v>161</v>
      </c>
      <c r="D89" s="233">
        <f>SUM(D90:D94)</f>
        <v>961080</v>
      </c>
      <c r="E89" s="229"/>
      <c r="F89" s="229"/>
      <c r="G89" s="229" t="s">
        <v>128</v>
      </c>
      <c r="H89" s="229" t="s">
        <v>128</v>
      </c>
    </row>
    <row r="90" spans="1:8" s="238" customFormat="1" ht="17.25" customHeight="1">
      <c r="A90" s="234" t="s">
        <v>128</v>
      </c>
      <c r="B90" s="234" t="s">
        <v>256</v>
      </c>
      <c r="C90" s="235" t="s">
        <v>254</v>
      </c>
      <c r="D90" s="236">
        <v>210000</v>
      </c>
      <c r="E90" s="237"/>
      <c r="F90" s="237"/>
      <c r="G90" s="237" t="s">
        <v>128</v>
      </c>
      <c r="H90" s="237" t="s">
        <v>128</v>
      </c>
    </row>
    <row r="91" spans="1:8" s="238" customFormat="1" ht="17.25" customHeight="1">
      <c r="A91" s="234" t="s">
        <v>128</v>
      </c>
      <c r="B91" s="234" t="s">
        <v>162</v>
      </c>
      <c r="C91" s="235" t="s">
        <v>163</v>
      </c>
      <c r="D91" s="236">
        <v>700000</v>
      </c>
      <c r="E91" s="237"/>
      <c r="F91" s="237"/>
      <c r="G91" s="237" t="s">
        <v>128</v>
      </c>
      <c r="H91" s="237" t="s">
        <v>128</v>
      </c>
    </row>
    <row r="92" spans="1:8" s="238" customFormat="1" ht="30" customHeight="1">
      <c r="A92" s="234" t="s">
        <v>128</v>
      </c>
      <c r="B92" s="234" t="s">
        <v>164</v>
      </c>
      <c r="C92" s="235" t="s">
        <v>165</v>
      </c>
      <c r="D92" s="236">
        <v>1080</v>
      </c>
      <c r="E92" s="237"/>
      <c r="F92" s="237"/>
      <c r="G92" s="237" t="s">
        <v>128</v>
      </c>
      <c r="H92" s="237" t="s">
        <v>128</v>
      </c>
    </row>
    <row r="93" spans="1:8" s="238" customFormat="1" ht="30" customHeight="1">
      <c r="A93" s="234" t="s">
        <v>128</v>
      </c>
      <c r="B93" s="234" t="s">
        <v>138</v>
      </c>
      <c r="C93" s="235" t="s">
        <v>139</v>
      </c>
      <c r="D93" s="236">
        <v>20000</v>
      </c>
      <c r="E93" s="237"/>
      <c r="F93" s="237"/>
      <c r="G93" s="237" t="s">
        <v>128</v>
      </c>
      <c r="H93" s="237" t="s">
        <v>128</v>
      </c>
    </row>
    <row r="94" spans="1:8" s="238" customFormat="1" ht="15.75" customHeight="1">
      <c r="A94" s="234" t="s">
        <v>128</v>
      </c>
      <c r="B94" s="234" t="s">
        <v>47</v>
      </c>
      <c r="C94" s="235" t="s">
        <v>48</v>
      </c>
      <c r="D94" s="236">
        <v>30000</v>
      </c>
      <c r="E94" s="237"/>
      <c r="F94" s="237"/>
      <c r="G94" s="237" t="s">
        <v>128</v>
      </c>
      <c r="H94" s="237" t="s">
        <v>128</v>
      </c>
    </row>
    <row r="95" spans="1:8" s="230" customFormat="1" ht="15.75" customHeight="1">
      <c r="A95" s="231">
        <v>75623</v>
      </c>
      <c r="B95" s="231" t="s">
        <v>128</v>
      </c>
      <c r="C95" s="232" t="s">
        <v>166</v>
      </c>
      <c r="D95" s="233">
        <f>SUM(D96:D97)</f>
        <v>798545931</v>
      </c>
      <c r="E95" s="229"/>
      <c r="F95" s="229"/>
      <c r="G95" s="229" t="s">
        <v>128</v>
      </c>
      <c r="H95" s="229" t="s">
        <v>128</v>
      </c>
    </row>
    <row r="96" spans="1:8" s="238" customFormat="1" ht="15.75" customHeight="1">
      <c r="A96" s="234" t="s">
        <v>128</v>
      </c>
      <c r="B96" s="234" t="s">
        <v>167</v>
      </c>
      <c r="C96" s="235" t="s">
        <v>168</v>
      </c>
      <c r="D96" s="236">
        <v>98093244</v>
      </c>
      <c r="E96" s="237"/>
      <c r="F96" s="237"/>
      <c r="G96" s="237" t="s">
        <v>128</v>
      </c>
      <c r="H96" s="237" t="s">
        <v>128</v>
      </c>
    </row>
    <row r="97" spans="1:8" s="238" customFormat="1" ht="15.75" customHeight="1">
      <c r="A97" s="234" t="s">
        <v>128</v>
      </c>
      <c r="B97" s="234" t="s">
        <v>169</v>
      </c>
      <c r="C97" s="235" t="s">
        <v>170</v>
      </c>
      <c r="D97" s="236">
        <v>700452687</v>
      </c>
      <c r="E97" s="237"/>
      <c r="F97" s="237"/>
      <c r="G97" s="237" t="s">
        <v>128</v>
      </c>
      <c r="H97" s="237" t="s">
        <v>128</v>
      </c>
    </row>
    <row r="98" spans="1:8" s="230" customFormat="1" ht="15.75" customHeight="1">
      <c r="A98" s="226" t="s">
        <v>74</v>
      </c>
      <c r="B98" s="226" t="s">
        <v>128</v>
      </c>
      <c r="C98" s="239" t="s">
        <v>75</v>
      </c>
      <c r="D98" s="228">
        <f>D99+D101+D103+D105+D107+D110+D112+D120</f>
        <v>770474745</v>
      </c>
      <c r="E98" s="229"/>
      <c r="F98" s="229"/>
      <c r="G98" s="229" t="s">
        <v>128</v>
      </c>
      <c r="H98" s="229" t="s">
        <v>128</v>
      </c>
    </row>
    <row r="99" spans="1:8" s="230" customFormat="1" ht="15.75" customHeight="1">
      <c r="A99" s="231">
        <v>75801</v>
      </c>
      <c r="B99" s="231" t="s">
        <v>128</v>
      </c>
      <c r="C99" s="232" t="s">
        <v>171</v>
      </c>
      <c r="D99" s="233">
        <f>D100</f>
        <v>99914568</v>
      </c>
      <c r="E99" s="229"/>
      <c r="F99" s="229"/>
      <c r="G99" s="229" t="s">
        <v>128</v>
      </c>
      <c r="H99" s="229" t="s">
        <v>128</v>
      </c>
    </row>
    <row r="100" spans="1:8" s="238" customFormat="1" ht="15.75" customHeight="1">
      <c r="A100" s="234" t="s">
        <v>128</v>
      </c>
      <c r="B100" s="234">
        <v>2920</v>
      </c>
      <c r="C100" s="235" t="s">
        <v>172</v>
      </c>
      <c r="D100" s="236">
        <v>99914568</v>
      </c>
      <c r="E100" s="237"/>
      <c r="F100" s="237"/>
      <c r="G100" s="237" t="s">
        <v>128</v>
      </c>
      <c r="H100" s="237" t="s">
        <v>128</v>
      </c>
    </row>
    <row r="101" spans="1:8" s="230" customFormat="1" ht="15.75" customHeight="1">
      <c r="A101" s="231">
        <v>75804</v>
      </c>
      <c r="B101" s="231" t="s">
        <v>128</v>
      </c>
      <c r="C101" s="232" t="s">
        <v>173</v>
      </c>
      <c r="D101" s="233">
        <f>D102</f>
        <v>257177710</v>
      </c>
      <c r="E101" s="229"/>
      <c r="F101" s="229"/>
      <c r="G101" s="229" t="s">
        <v>128</v>
      </c>
      <c r="H101" s="229" t="s">
        <v>128</v>
      </c>
    </row>
    <row r="102" spans="1:8" s="238" customFormat="1" ht="15.75" customHeight="1">
      <c r="A102" s="234" t="s">
        <v>128</v>
      </c>
      <c r="B102" s="234">
        <v>2920</v>
      </c>
      <c r="C102" s="235" t="s">
        <v>172</v>
      </c>
      <c r="D102" s="236">
        <v>257177710</v>
      </c>
      <c r="E102" s="237"/>
      <c r="F102" s="237"/>
      <c r="G102" s="237" t="s">
        <v>128</v>
      </c>
      <c r="H102" s="237" t="s">
        <v>128</v>
      </c>
    </row>
    <row r="103" spans="1:8" s="230" customFormat="1" ht="15.75" customHeight="1">
      <c r="A103" s="231">
        <v>75819</v>
      </c>
      <c r="B103" s="231" t="s">
        <v>128</v>
      </c>
      <c r="C103" s="232" t="s">
        <v>174</v>
      </c>
      <c r="D103" s="233">
        <f>D104</f>
        <v>23480985</v>
      </c>
      <c r="E103" s="229"/>
      <c r="F103" s="229"/>
      <c r="G103" s="229" t="s">
        <v>128</v>
      </c>
      <c r="H103" s="229" t="s">
        <v>128</v>
      </c>
    </row>
    <row r="104" spans="1:8" s="238" customFormat="1" ht="15.75" customHeight="1">
      <c r="A104" s="234" t="s">
        <v>128</v>
      </c>
      <c r="B104" s="234">
        <v>2770</v>
      </c>
      <c r="C104" s="235" t="s">
        <v>175</v>
      </c>
      <c r="D104" s="236">
        <v>23480985</v>
      </c>
      <c r="E104" s="237"/>
      <c r="F104" s="237"/>
      <c r="G104" s="237" t="s">
        <v>128</v>
      </c>
      <c r="H104" s="237" t="s">
        <v>128</v>
      </c>
    </row>
    <row r="105" spans="1:8" s="230" customFormat="1" ht="15.75" customHeight="1">
      <c r="A105" s="231">
        <v>75833</v>
      </c>
      <c r="B105" s="231" t="s">
        <v>128</v>
      </c>
      <c r="C105" s="232" t="s">
        <v>176</v>
      </c>
      <c r="D105" s="233">
        <f>D106</f>
        <v>156383189</v>
      </c>
      <c r="E105" s="229"/>
      <c r="F105" s="229"/>
      <c r="G105" s="229" t="s">
        <v>128</v>
      </c>
      <c r="H105" s="229" t="s">
        <v>128</v>
      </c>
    </row>
    <row r="106" spans="1:8" s="238" customFormat="1" ht="15.75" customHeight="1">
      <c r="A106" s="234" t="s">
        <v>128</v>
      </c>
      <c r="B106" s="234">
        <v>2920</v>
      </c>
      <c r="C106" s="235" t="s">
        <v>172</v>
      </c>
      <c r="D106" s="236">
        <v>156383189</v>
      </c>
      <c r="E106" s="237"/>
      <c r="F106" s="237"/>
      <c r="G106" s="237" t="s">
        <v>128</v>
      </c>
      <c r="H106" s="237" t="s">
        <v>128</v>
      </c>
    </row>
    <row r="107" spans="1:8" s="230" customFormat="1" ht="30.75" customHeight="1">
      <c r="A107" s="231">
        <v>75863</v>
      </c>
      <c r="B107" s="231" t="s">
        <v>128</v>
      </c>
      <c r="C107" s="232" t="s">
        <v>177</v>
      </c>
      <c r="D107" s="233">
        <f>SUM(D108:D109)</f>
        <v>8729000</v>
      </c>
      <c r="E107" s="229"/>
      <c r="F107" s="229"/>
      <c r="G107" s="229" t="s">
        <v>128</v>
      </c>
      <c r="H107" s="229" t="s">
        <v>128</v>
      </c>
    </row>
    <row r="108" spans="1:8" s="238" customFormat="1" ht="54" customHeight="1">
      <c r="A108" s="234" t="s">
        <v>128</v>
      </c>
      <c r="B108" s="234">
        <v>2009</v>
      </c>
      <c r="C108" s="235" t="s">
        <v>130</v>
      </c>
      <c r="D108" s="236">
        <v>481000</v>
      </c>
      <c r="E108" s="237"/>
      <c r="F108" s="237"/>
      <c r="G108" s="237" t="s">
        <v>128</v>
      </c>
      <c r="H108" s="237" t="s">
        <v>128</v>
      </c>
    </row>
    <row r="109" spans="1:8" s="238" customFormat="1" ht="54" customHeight="1">
      <c r="A109" s="234" t="s">
        <v>128</v>
      </c>
      <c r="B109" s="234">
        <v>6209</v>
      </c>
      <c r="C109" s="235" t="s">
        <v>178</v>
      </c>
      <c r="D109" s="236">
        <v>8248000</v>
      </c>
      <c r="E109" s="237"/>
      <c r="F109" s="237"/>
      <c r="G109" s="237" t="s">
        <v>128</v>
      </c>
      <c r="H109" s="237" t="s">
        <v>128</v>
      </c>
    </row>
    <row r="110" spans="1:8" s="230" customFormat="1" ht="33.75" customHeight="1">
      <c r="A110" s="231">
        <v>75864</v>
      </c>
      <c r="B110" s="231" t="s">
        <v>128</v>
      </c>
      <c r="C110" s="232" t="s">
        <v>180</v>
      </c>
      <c r="D110" s="233">
        <f>D111</f>
        <v>2590000</v>
      </c>
      <c r="E110" s="229"/>
      <c r="F110" s="229"/>
      <c r="G110" s="229" t="s">
        <v>128</v>
      </c>
      <c r="H110" s="229" t="s">
        <v>128</v>
      </c>
    </row>
    <row r="111" spans="1:8" s="238" customFormat="1" ht="55.5" customHeight="1">
      <c r="A111" s="234" t="s">
        <v>128</v>
      </c>
      <c r="B111" s="234">
        <v>2009</v>
      </c>
      <c r="C111" s="235" t="s">
        <v>130</v>
      </c>
      <c r="D111" s="236">
        <v>2590000</v>
      </c>
      <c r="E111" s="237"/>
      <c r="F111" s="237"/>
      <c r="G111" s="237" t="s">
        <v>128</v>
      </c>
      <c r="H111" s="237" t="s">
        <v>128</v>
      </c>
    </row>
    <row r="112" spans="1:8" s="230" customFormat="1" ht="35.25" customHeight="1">
      <c r="A112" s="231">
        <v>75865</v>
      </c>
      <c r="B112" s="231" t="s">
        <v>128</v>
      </c>
      <c r="C112" s="232" t="s">
        <v>269</v>
      </c>
      <c r="D112" s="233">
        <f>SUM(D113:D119)</f>
        <v>130959656</v>
      </c>
      <c r="E112" s="229"/>
      <c r="F112" s="229"/>
      <c r="G112" s="229" t="s">
        <v>128</v>
      </c>
      <c r="H112" s="229" t="s">
        <v>128</v>
      </c>
    </row>
    <row r="113" spans="1:8" s="238" customFormat="1" ht="54.75" customHeight="1">
      <c r="A113" s="234" t="s">
        <v>128</v>
      </c>
      <c r="B113" s="234">
        <v>2009</v>
      </c>
      <c r="C113" s="235" t="s">
        <v>130</v>
      </c>
      <c r="D113" s="236">
        <v>108000</v>
      </c>
      <c r="E113" s="237"/>
      <c r="F113" s="237"/>
      <c r="G113" s="237" t="s">
        <v>128</v>
      </c>
      <c r="H113" s="237" t="s">
        <v>128</v>
      </c>
    </row>
    <row r="114" spans="1:8" s="238" customFormat="1" ht="42.95" customHeight="1">
      <c r="A114" s="234" t="s">
        <v>128</v>
      </c>
      <c r="B114" s="234">
        <v>2057</v>
      </c>
      <c r="C114" s="235" t="s">
        <v>131</v>
      </c>
      <c r="D114" s="236">
        <v>2075572</v>
      </c>
      <c r="E114" s="237"/>
      <c r="F114" s="237"/>
      <c r="G114" s="237" t="s">
        <v>128</v>
      </c>
      <c r="H114" s="237" t="s">
        <v>128</v>
      </c>
    </row>
    <row r="115" spans="1:8" s="238" customFormat="1" ht="42.95" customHeight="1">
      <c r="A115" s="234" t="s">
        <v>128</v>
      </c>
      <c r="B115" s="234">
        <v>2059</v>
      </c>
      <c r="C115" s="235" t="s">
        <v>131</v>
      </c>
      <c r="D115" s="236">
        <v>177957</v>
      </c>
      <c r="E115" s="237"/>
      <c r="F115" s="237"/>
      <c r="G115" s="237" t="s">
        <v>128</v>
      </c>
      <c r="H115" s="237" t="s">
        <v>128</v>
      </c>
    </row>
    <row r="116" spans="1:8" s="238" customFormat="1" ht="54.75" customHeight="1">
      <c r="A116" s="240" t="s">
        <v>128</v>
      </c>
      <c r="B116" s="240">
        <v>6207</v>
      </c>
      <c r="C116" s="241" t="s">
        <v>178</v>
      </c>
      <c r="D116" s="242">
        <v>5472698</v>
      </c>
      <c r="E116" s="237"/>
      <c r="F116" s="237"/>
      <c r="G116" s="237" t="s">
        <v>128</v>
      </c>
      <c r="H116" s="237" t="s">
        <v>128</v>
      </c>
    </row>
    <row r="117" spans="1:8" s="238" customFormat="1" ht="54.75" customHeight="1">
      <c r="A117" s="243" t="s">
        <v>128</v>
      </c>
      <c r="B117" s="243">
        <v>6209</v>
      </c>
      <c r="C117" s="244" t="s">
        <v>178</v>
      </c>
      <c r="D117" s="245">
        <v>892000</v>
      </c>
      <c r="E117" s="237"/>
      <c r="F117" s="237"/>
      <c r="G117" s="237" t="s">
        <v>128</v>
      </c>
      <c r="H117" s="237" t="s">
        <v>128</v>
      </c>
    </row>
    <row r="118" spans="1:8" s="238" customFormat="1" ht="42.75" customHeight="1">
      <c r="A118" s="234" t="s">
        <v>128</v>
      </c>
      <c r="B118" s="234">
        <v>6257</v>
      </c>
      <c r="C118" s="235" t="s">
        <v>179</v>
      </c>
      <c r="D118" s="236">
        <v>110854494</v>
      </c>
      <c r="E118" s="237"/>
      <c r="F118" s="237"/>
      <c r="G118" s="237" t="s">
        <v>128</v>
      </c>
      <c r="H118" s="237" t="s">
        <v>128</v>
      </c>
    </row>
    <row r="119" spans="1:8" s="238" customFormat="1" ht="42" customHeight="1">
      <c r="A119" s="234" t="s">
        <v>128</v>
      </c>
      <c r="B119" s="234">
        <v>6259</v>
      </c>
      <c r="C119" s="235" t="s">
        <v>179</v>
      </c>
      <c r="D119" s="236">
        <v>11378935</v>
      </c>
      <c r="E119" s="237"/>
      <c r="F119" s="237"/>
      <c r="G119" s="237" t="s">
        <v>128</v>
      </c>
      <c r="H119" s="237" t="s">
        <v>128</v>
      </c>
    </row>
    <row r="120" spans="1:8" s="230" customFormat="1" ht="33" customHeight="1">
      <c r="A120" s="231">
        <v>75866</v>
      </c>
      <c r="B120" s="231" t="s">
        <v>128</v>
      </c>
      <c r="C120" s="232" t="s">
        <v>270</v>
      </c>
      <c r="D120" s="233">
        <f>SUM(D121:D128)</f>
        <v>91239637</v>
      </c>
      <c r="E120" s="229"/>
      <c r="F120" s="229"/>
      <c r="G120" s="229" t="s">
        <v>128</v>
      </c>
      <c r="H120" s="229" t="s">
        <v>128</v>
      </c>
    </row>
    <row r="121" spans="1:8" s="238" customFormat="1" ht="56.25" customHeight="1">
      <c r="A121" s="234" t="s">
        <v>128</v>
      </c>
      <c r="B121" s="234">
        <v>2007</v>
      </c>
      <c r="C121" s="235" t="s">
        <v>130</v>
      </c>
      <c r="D121" s="236">
        <v>1549223</v>
      </c>
      <c r="E121" s="237"/>
      <c r="F121" s="237"/>
      <c r="G121" s="237" t="s">
        <v>128</v>
      </c>
      <c r="H121" s="237" t="s">
        <v>128</v>
      </c>
    </row>
    <row r="122" spans="1:8" s="238" customFormat="1" ht="56.25" customHeight="1">
      <c r="A122" s="234" t="s">
        <v>128</v>
      </c>
      <c r="B122" s="234">
        <v>2008</v>
      </c>
      <c r="C122" s="235" t="s">
        <v>130</v>
      </c>
      <c r="D122" s="236">
        <v>2297299</v>
      </c>
      <c r="E122" s="237"/>
      <c r="F122" s="237"/>
      <c r="G122" s="237" t="s">
        <v>128</v>
      </c>
      <c r="H122" s="237" t="s">
        <v>128</v>
      </c>
    </row>
    <row r="123" spans="1:8" s="238" customFormat="1" ht="56.25" customHeight="1">
      <c r="A123" s="234" t="s">
        <v>128</v>
      </c>
      <c r="B123" s="234">
        <v>2009</v>
      </c>
      <c r="C123" s="235" t="s">
        <v>130</v>
      </c>
      <c r="D123" s="236">
        <v>2568316</v>
      </c>
      <c r="E123" s="237"/>
      <c r="F123" s="237"/>
      <c r="G123" s="237" t="s">
        <v>128</v>
      </c>
      <c r="H123" s="237" t="s">
        <v>128</v>
      </c>
    </row>
    <row r="124" spans="1:8" s="238" customFormat="1" ht="42.95" customHeight="1">
      <c r="A124" s="234" t="s">
        <v>128</v>
      </c>
      <c r="B124" s="234">
        <v>2057</v>
      </c>
      <c r="C124" s="235" t="s">
        <v>131</v>
      </c>
      <c r="D124" s="236">
        <v>25810306</v>
      </c>
      <c r="E124" s="237"/>
      <c r="F124" s="237"/>
      <c r="G124" s="237" t="s">
        <v>128</v>
      </c>
      <c r="H124" s="237" t="s">
        <v>128</v>
      </c>
    </row>
    <row r="125" spans="1:8" s="238" customFormat="1" ht="42.95" customHeight="1">
      <c r="A125" s="234" t="s">
        <v>128</v>
      </c>
      <c r="B125" s="234">
        <v>2058</v>
      </c>
      <c r="C125" s="235" t="s">
        <v>131</v>
      </c>
      <c r="D125" s="236">
        <v>56117701</v>
      </c>
      <c r="E125" s="237"/>
      <c r="F125" s="237"/>
      <c r="G125" s="237" t="s">
        <v>128</v>
      </c>
      <c r="H125" s="237" t="s">
        <v>128</v>
      </c>
    </row>
    <row r="126" spans="1:8" s="238" customFormat="1" ht="42.95" customHeight="1">
      <c r="A126" s="234" t="s">
        <v>128</v>
      </c>
      <c r="B126" s="234">
        <v>2059</v>
      </c>
      <c r="C126" s="235" t="s">
        <v>131</v>
      </c>
      <c r="D126" s="236">
        <v>2545792</v>
      </c>
      <c r="E126" s="237"/>
      <c r="F126" s="237"/>
      <c r="G126" s="237" t="s">
        <v>128</v>
      </c>
      <c r="H126" s="237" t="s">
        <v>128</v>
      </c>
    </row>
    <row r="127" spans="1:8" s="238" customFormat="1" ht="56.25" customHeight="1">
      <c r="A127" s="234" t="s">
        <v>128</v>
      </c>
      <c r="B127" s="234">
        <v>6209</v>
      </c>
      <c r="C127" s="235" t="s">
        <v>178</v>
      </c>
      <c r="D127" s="236">
        <v>266000</v>
      </c>
      <c r="E127" s="237"/>
      <c r="F127" s="237"/>
      <c r="G127" s="237" t="s">
        <v>128</v>
      </c>
      <c r="H127" s="237" t="s">
        <v>128</v>
      </c>
    </row>
    <row r="128" spans="1:8" s="238" customFormat="1" ht="43.5" customHeight="1">
      <c r="A128" s="234" t="s">
        <v>128</v>
      </c>
      <c r="B128" s="234">
        <v>6258</v>
      </c>
      <c r="C128" s="235" t="s">
        <v>179</v>
      </c>
      <c r="D128" s="236">
        <v>85000</v>
      </c>
      <c r="E128" s="237"/>
      <c r="F128" s="237"/>
      <c r="G128" s="237" t="s">
        <v>128</v>
      </c>
      <c r="H128" s="237" t="s">
        <v>128</v>
      </c>
    </row>
    <row r="129" spans="1:8" s="230" customFormat="1" ht="15.75" customHeight="1">
      <c r="A129" s="226" t="s">
        <v>33</v>
      </c>
      <c r="B129" s="226" t="s">
        <v>128</v>
      </c>
      <c r="C129" s="239" t="s">
        <v>34</v>
      </c>
      <c r="D129" s="228">
        <f>D130+D132+D134+D136+D138+D145+D148+D150</f>
        <v>11332828</v>
      </c>
      <c r="E129" s="229"/>
      <c r="F129" s="229"/>
      <c r="G129" s="229" t="s">
        <v>128</v>
      </c>
      <c r="H129" s="229" t="s">
        <v>128</v>
      </c>
    </row>
    <row r="130" spans="1:8" s="230" customFormat="1" ht="15.75" customHeight="1">
      <c r="A130" s="231">
        <v>80102</v>
      </c>
      <c r="B130" s="231" t="s">
        <v>128</v>
      </c>
      <c r="C130" s="232" t="s">
        <v>76</v>
      </c>
      <c r="D130" s="233">
        <f>D131</f>
        <v>8750</v>
      </c>
      <c r="E130" s="229"/>
      <c r="F130" s="229"/>
      <c r="G130" s="229" t="s">
        <v>128</v>
      </c>
      <c r="H130" s="229" t="s">
        <v>128</v>
      </c>
    </row>
    <row r="131" spans="1:8" s="238" customFormat="1" ht="15.75" customHeight="1">
      <c r="A131" s="234" t="s">
        <v>128</v>
      </c>
      <c r="B131" s="234" t="s">
        <v>4</v>
      </c>
      <c r="C131" s="235" t="s">
        <v>5</v>
      </c>
      <c r="D131" s="236">
        <v>8750</v>
      </c>
      <c r="E131" s="237"/>
      <c r="F131" s="237"/>
      <c r="G131" s="237" t="s">
        <v>128</v>
      </c>
      <c r="H131" s="237" t="s">
        <v>128</v>
      </c>
    </row>
    <row r="132" spans="1:8" s="230" customFormat="1" ht="15.75" customHeight="1">
      <c r="A132" s="231">
        <v>80116</v>
      </c>
      <c r="B132" s="231" t="s">
        <v>128</v>
      </c>
      <c r="C132" s="232" t="s">
        <v>77</v>
      </c>
      <c r="D132" s="233">
        <f>D133</f>
        <v>2400</v>
      </c>
      <c r="E132" s="229"/>
      <c r="F132" s="229"/>
      <c r="G132" s="229" t="s">
        <v>128</v>
      </c>
      <c r="H132" s="229" t="s">
        <v>128</v>
      </c>
    </row>
    <row r="133" spans="1:8" s="238" customFormat="1" ht="15.75" customHeight="1">
      <c r="A133" s="234" t="s">
        <v>128</v>
      </c>
      <c r="B133" s="234" t="s">
        <v>4</v>
      </c>
      <c r="C133" s="235" t="s">
        <v>5</v>
      </c>
      <c r="D133" s="236">
        <v>2400</v>
      </c>
      <c r="E133" s="237"/>
      <c r="F133" s="237"/>
      <c r="G133" s="237" t="s">
        <v>128</v>
      </c>
      <c r="H133" s="237" t="s">
        <v>128</v>
      </c>
    </row>
    <row r="134" spans="1:8" s="230" customFormat="1" ht="15.75" customHeight="1">
      <c r="A134" s="231">
        <v>80121</v>
      </c>
      <c r="B134" s="231" t="s">
        <v>128</v>
      </c>
      <c r="C134" s="232" t="s">
        <v>78</v>
      </c>
      <c r="D134" s="233">
        <f>D135</f>
        <v>470</v>
      </c>
      <c r="E134" s="229"/>
      <c r="F134" s="229"/>
      <c r="G134" s="229" t="s">
        <v>128</v>
      </c>
      <c r="H134" s="229" t="s">
        <v>128</v>
      </c>
    </row>
    <row r="135" spans="1:8" s="238" customFormat="1" ht="15.75" customHeight="1">
      <c r="A135" s="234" t="s">
        <v>128</v>
      </c>
      <c r="B135" s="234" t="s">
        <v>4</v>
      </c>
      <c r="C135" s="235" t="s">
        <v>5</v>
      </c>
      <c r="D135" s="236">
        <v>470</v>
      </c>
      <c r="E135" s="237"/>
      <c r="F135" s="237"/>
      <c r="G135" s="237" t="s">
        <v>128</v>
      </c>
      <c r="H135" s="237" t="s">
        <v>128</v>
      </c>
    </row>
    <row r="136" spans="1:8" s="230" customFormat="1" ht="15.75" customHeight="1">
      <c r="A136" s="231">
        <v>80134</v>
      </c>
      <c r="B136" s="231" t="s">
        <v>128</v>
      </c>
      <c r="C136" s="232" t="s">
        <v>79</v>
      </c>
      <c r="D136" s="233">
        <f>D137</f>
        <v>3000</v>
      </c>
      <c r="E136" s="229"/>
      <c r="F136" s="229"/>
      <c r="G136" s="229" t="s">
        <v>128</v>
      </c>
      <c r="H136" s="229" t="s">
        <v>128</v>
      </c>
    </row>
    <row r="137" spans="1:8" s="238" customFormat="1" ht="15.75" customHeight="1">
      <c r="A137" s="234" t="s">
        <v>128</v>
      </c>
      <c r="B137" s="234" t="s">
        <v>4</v>
      </c>
      <c r="C137" s="235" t="s">
        <v>5</v>
      </c>
      <c r="D137" s="236">
        <v>3000</v>
      </c>
      <c r="E137" s="237"/>
      <c r="F137" s="237"/>
      <c r="G137" s="237" t="s">
        <v>128</v>
      </c>
      <c r="H137" s="237" t="s">
        <v>128</v>
      </c>
    </row>
    <row r="138" spans="1:8" s="230" customFormat="1" ht="15.75" customHeight="1">
      <c r="A138" s="231">
        <v>80140</v>
      </c>
      <c r="B138" s="231" t="s">
        <v>128</v>
      </c>
      <c r="C138" s="232" t="s">
        <v>80</v>
      </c>
      <c r="D138" s="233">
        <f>SUM(D139:D144)</f>
        <v>1686804</v>
      </c>
      <c r="E138" s="229"/>
      <c r="F138" s="229"/>
      <c r="G138" s="229" t="s">
        <v>128</v>
      </c>
      <c r="H138" s="229" t="s">
        <v>128</v>
      </c>
    </row>
    <row r="139" spans="1:8" s="238" customFormat="1" ht="15.75" customHeight="1">
      <c r="A139" s="234" t="s">
        <v>128</v>
      </c>
      <c r="B139" s="234" t="s">
        <v>47</v>
      </c>
      <c r="C139" s="235" t="s">
        <v>48</v>
      </c>
      <c r="D139" s="236">
        <v>104</v>
      </c>
      <c r="E139" s="237"/>
      <c r="F139" s="237"/>
      <c r="G139" s="237" t="s">
        <v>128</v>
      </c>
      <c r="H139" s="237" t="s">
        <v>128</v>
      </c>
    </row>
    <row r="140" spans="1:8" s="238" customFormat="1" ht="15.75" customHeight="1">
      <c r="A140" s="234" t="s">
        <v>128</v>
      </c>
      <c r="B140" s="234" t="s">
        <v>156</v>
      </c>
      <c r="C140" s="235" t="s">
        <v>157</v>
      </c>
      <c r="D140" s="236">
        <v>834900</v>
      </c>
      <c r="E140" s="237"/>
      <c r="F140" s="237"/>
      <c r="G140" s="237" t="s">
        <v>128</v>
      </c>
      <c r="H140" s="237" t="s">
        <v>128</v>
      </c>
    </row>
    <row r="141" spans="1:8" s="238" customFormat="1" ht="15.75" customHeight="1">
      <c r="A141" s="234" t="s">
        <v>128</v>
      </c>
      <c r="B141" s="234" t="s">
        <v>273</v>
      </c>
      <c r="C141" s="235" t="s">
        <v>268</v>
      </c>
      <c r="D141" s="236">
        <v>400</v>
      </c>
      <c r="E141" s="237"/>
      <c r="F141" s="237"/>
      <c r="G141" s="237" t="s">
        <v>128</v>
      </c>
      <c r="H141" s="237" t="s">
        <v>128</v>
      </c>
    </row>
    <row r="142" spans="1:8" s="238" customFormat="1" ht="15.75" customHeight="1">
      <c r="A142" s="234" t="s">
        <v>128</v>
      </c>
      <c r="B142" s="234" t="s">
        <v>4</v>
      </c>
      <c r="C142" s="235" t="s">
        <v>5</v>
      </c>
      <c r="D142" s="236">
        <v>1400</v>
      </c>
      <c r="E142" s="237"/>
      <c r="F142" s="237"/>
      <c r="G142" s="237" t="s">
        <v>128</v>
      </c>
      <c r="H142" s="237" t="s">
        <v>128</v>
      </c>
    </row>
    <row r="143" spans="1:8" s="238" customFormat="1" ht="29.25" customHeight="1">
      <c r="A143" s="234" t="s">
        <v>128</v>
      </c>
      <c r="B143" s="234">
        <v>2310</v>
      </c>
      <c r="C143" s="235" t="s">
        <v>154</v>
      </c>
      <c r="D143" s="236">
        <v>120000</v>
      </c>
      <c r="E143" s="237"/>
      <c r="F143" s="237"/>
      <c r="G143" s="237" t="s">
        <v>128</v>
      </c>
      <c r="H143" s="237" t="s">
        <v>128</v>
      </c>
    </row>
    <row r="144" spans="1:8" s="238" customFormat="1" ht="29.25" customHeight="1">
      <c r="A144" s="234" t="s">
        <v>128</v>
      </c>
      <c r="B144" s="234">
        <v>2320</v>
      </c>
      <c r="C144" s="235" t="s">
        <v>155</v>
      </c>
      <c r="D144" s="236">
        <v>730000</v>
      </c>
      <c r="E144" s="237"/>
      <c r="F144" s="237"/>
      <c r="G144" s="237" t="s">
        <v>128</v>
      </c>
      <c r="H144" s="237" t="s">
        <v>128</v>
      </c>
    </row>
    <row r="145" spans="1:8" s="230" customFormat="1" ht="17.25" customHeight="1">
      <c r="A145" s="231">
        <v>80146</v>
      </c>
      <c r="B145" s="231" t="s">
        <v>128</v>
      </c>
      <c r="C145" s="232" t="s">
        <v>81</v>
      </c>
      <c r="D145" s="233">
        <f>SUM(D146:D147)</f>
        <v>664850</v>
      </c>
      <c r="E145" s="229"/>
      <c r="F145" s="229"/>
      <c r="G145" s="229" t="s">
        <v>128</v>
      </c>
      <c r="H145" s="229" t="s">
        <v>128</v>
      </c>
    </row>
    <row r="146" spans="1:8" s="238" customFormat="1" ht="17.25" customHeight="1">
      <c r="A146" s="234" t="s">
        <v>128</v>
      </c>
      <c r="B146" s="234" t="s">
        <v>4</v>
      </c>
      <c r="C146" s="235" t="s">
        <v>5</v>
      </c>
      <c r="D146" s="236">
        <v>2850</v>
      </c>
      <c r="E146" s="237"/>
      <c r="F146" s="237"/>
      <c r="G146" s="237" t="s">
        <v>128</v>
      </c>
      <c r="H146" s="237" t="s">
        <v>128</v>
      </c>
    </row>
    <row r="147" spans="1:8" s="238" customFormat="1" ht="33" customHeight="1">
      <c r="A147" s="234" t="s">
        <v>128</v>
      </c>
      <c r="B147" s="234">
        <v>2220</v>
      </c>
      <c r="C147" s="235" t="s">
        <v>181</v>
      </c>
      <c r="D147" s="236">
        <v>662000</v>
      </c>
      <c r="E147" s="237"/>
      <c r="F147" s="237"/>
      <c r="G147" s="237" t="s">
        <v>128</v>
      </c>
      <c r="H147" s="237" t="s">
        <v>128</v>
      </c>
    </row>
    <row r="148" spans="1:8" s="230" customFormat="1" ht="17.25" customHeight="1">
      <c r="A148" s="231">
        <v>80147</v>
      </c>
      <c r="B148" s="231" t="s">
        <v>128</v>
      </c>
      <c r="C148" s="232" t="s">
        <v>82</v>
      </c>
      <c r="D148" s="233">
        <f>D149</f>
        <v>1700</v>
      </c>
      <c r="E148" s="229"/>
      <c r="F148" s="229"/>
      <c r="G148" s="229" t="s">
        <v>128</v>
      </c>
      <c r="H148" s="229" t="s">
        <v>128</v>
      </c>
    </row>
    <row r="149" spans="1:8" s="238" customFormat="1" ht="17.25" customHeight="1">
      <c r="A149" s="240" t="s">
        <v>128</v>
      </c>
      <c r="B149" s="240" t="s">
        <v>4</v>
      </c>
      <c r="C149" s="241" t="s">
        <v>5</v>
      </c>
      <c r="D149" s="242">
        <v>1700</v>
      </c>
      <c r="E149" s="237"/>
      <c r="F149" s="237"/>
      <c r="G149" s="237" t="s">
        <v>128</v>
      </c>
      <c r="H149" s="237" t="s">
        <v>128</v>
      </c>
    </row>
    <row r="150" spans="1:8" s="230" customFormat="1" ht="17.25" customHeight="1">
      <c r="A150" s="254">
        <v>80195</v>
      </c>
      <c r="B150" s="254" t="s">
        <v>128</v>
      </c>
      <c r="C150" s="255" t="s">
        <v>46</v>
      </c>
      <c r="D150" s="256">
        <f>D151+D152</f>
        <v>8964854</v>
      </c>
      <c r="E150" s="229"/>
      <c r="F150" s="229"/>
      <c r="G150" s="229" t="s">
        <v>128</v>
      </c>
      <c r="H150" s="229" t="s">
        <v>128</v>
      </c>
    </row>
    <row r="151" spans="1:8" s="238" customFormat="1" ht="42.75" customHeight="1">
      <c r="A151" s="234" t="s">
        <v>128</v>
      </c>
      <c r="B151" s="234">
        <v>2700</v>
      </c>
      <c r="C151" s="235" t="s">
        <v>298</v>
      </c>
      <c r="D151" s="236">
        <v>8905002</v>
      </c>
      <c r="E151" s="237"/>
      <c r="F151" s="237"/>
      <c r="G151" s="237" t="s">
        <v>128</v>
      </c>
      <c r="H151" s="237" t="s">
        <v>128</v>
      </c>
    </row>
    <row r="152" spans="1:8" s="238" customFormat="1" ht="42" customHeight="1">
      <c r="A152" s="240" t="s">
        <v>128</v>
      </c>
      <c r="B152" s="240">
        <v>6290</v>
      </c>
      <c r="C152" s="241" t="s">
        <v>274</v>
      </c>
      <c r="D152" s="242">
        <v>59852</v>
      </c>
      <c r="E152" s="237"/>
      <c r="F152" s="237"/>
      <c r="G152" s="237" t="s">
        <v>128</v>
      </c>
      <c r="H152" s="237" t="s">
        <v>128</v>
      </c>
    </row>
    <row r="153" spans="1:8" s="230" customFormat="1" ht="19.5" customHeight="1">
      <c r="A153" s="226" t="s">
        <v>35</v>
      </c>
      <c r="B153" s="226" t="s">
        <v>128</v>
      </c>
      <c r="C153" s="239" t="s">
        <v>36</v>
      </c>
      <c r="D153" s="228">
        <f>D154+D156</f>
        <v>24978755</v>
      </c>
      <c r="E153" s="229"/>
      <c r="F153" s="229"/>
      <c r="G153" s="229" t="s">
        <v>128</v>
      </c>
      <c r="H153" s="229" t="s">
        <v>128</v>
      </c>
    </row>
    <row r="154" spans="1:8" s="230" customFormat="1" ht="19.5" customHeight="1">
      <c r="A154" s="231">
        <v>85157</v>
      </c>
      <c r="B154" s="231" t="s">
        <v>128</v>
      </c>
      <c r="C154" s="232" t="s">
        <v>255</v>
      </c>
      <c r="D154" s="233">
        <f>D155</f>
        <v>24591000</v>
      </c>
      <c r="E154" s="229"/>
      <c r="F154" s="229"/>
      <c r="G154" s="229" t="s">
        <v>128</v>
      </c>
      <c r="H154" s="229" t="s">
        <v>128</v>
      </c>
    </row>
    <row r="155" spans="1:8" s="238" customFormat="1" ht="33" customHeight="1">
      <c r="A155" s="234" t="s">
        <v>128</v>
      </c>
      <c r="B155" s="234">
        <v>2210</v>
      </c>
      <c r="C155" s="235" t="s">
        <v>134</v>
      </c>
      <c r="D155" s="236">
        <v>24591000</v>
      </c>
      <c r="E155" s="237"/>
      <c r="F155" s="237"/>
      <c r="G155" s="237" t="s">
        <v>128</v>
      </c>
      <c r="H155" s="237" t="s">
        <v>128</v>
      </c>
    </row>
    <row r="156" spans="1:8" s="230" customFormat="1" ht="16.5" customHeight="1">
      <c r="A156" s="231">
        <v>85195</v>
      </c>
      <c r="B156" s="231" t="s">
        <v>128</v>
      </c>
      <c r="C156" s="232" t="s">
        <v>46</v>
      </c>
      <c r="D156" s="233">
        <f>D157+D158</f>
        <v>387755</v>
      </c>
      <c r="E156" s="229"/>
      <c r="F156" s="229"/>
      <c r="G156" s="229" t="s">
        <v>128</v>
      </c>
      <c r="H156" s="229" t="s">
        <v>128</v>
      </c>
    </row>
    <row r="157" spans="1:8" s="238" customFormat="1" ht="42.95" customHeight="1">
      <c r="A157" s="234" t="s">
        <v>128</v>
      </c>
      <c r="B157" s="234">
        <v>2058</v>
      </c>
      <c r="C157" s="235" t="s">
        <v>131</v>
      </c>
      <c r="D157" s="236">
        <v>367755</v>
      </c>
      <c r="E157" s="237"/>
      <c r="F157" s="237"/>
      <c r="G157" s="237" t="s">
        <v>128</v>
      </c>
      <c r="H157" s="237" t="s">
        <v>128</v>
      </c>
    </row>
    <row r="158" spans="1:8" s="238" customFormat="1" ht="32.25" customHeight="1">
      <c r="A158" s="234" t="s">
        <v>128</v>
      </c>
      <c r="B158" s="234">
        <v>2210</v>
      </c>
      <c r="C158" s="235" t="s">
        <v>134</v>
      </c>
      <c r="D158" s="236">
        <v>20000</v>
      </c>
      <c r="E158" s="237"/>
      <c r="F158" s="237"/>
      <c r="G158" s="237" t="s">
        <v>128</v>
      </c>
      <c r="H158" s="237" t="s">
        <v>128</v>
      </c>
    </row>
    <row r="159" spans="1:8" s="230" customFormat="1" ht="15.75" customHeight="1">
      <c r="A159" s="226" t="s">
        <v>100</v>
      </c>
      <c r="B159" s="226" t="s">
        <v>128</v>
      </c>
      <c r="C159" s="251" t="s">
        <v>83</v>
      </c>
      <c r="D159" s="228">
        <f>D160+D163</f>
        <v>182000</v>
      </c>
      <c r="E159" s="229"/>
      <c r="F159" s="229"/>
      <c r="G159" s="229" t="s">
        <v>128</v>
      </c>
      <c r="H159" s="229" t="s">
        <v>128</v>
      </c>
    </row>
    <row r="160" spans="1:8" s="230" customFormat="1" ht="18.75" customHeight="1">
      <c r="A160" s="231">
        <v>85205</v>
      </c>
      <c r="B160" s="231" t="s">
        <v>128</v>
      </c>
      <c r="C160" s="232" t="s">
        <v>84</v>
      </c>
      <c r="D160" s="233">
        <f>D161+D162</f>
        <v>177000</v>
      </c>
      <c r="E160" s="229"/>
      <c r="F160" s="229"/>
      <c r="G160" s="229" t="s">
        <v>128</v>
      </c>
      <c r="H160" s="229" t="s">
        <v>128</v>
      </c>
    </row>
    <row r="161" spans="1:8" s="238" customFormat="1" ht="30" customHeight="1">
      <c r="A161" s="234" t="s">
        <v>128</v>
      </c>
      <c r="B161" s="234">
        <v>2230</v>
      </c>
      <c r="C161" s="235" t="s">
        <v>158</v>
      </c>
      <c r="D161" s="236">
        <v>100000</v>
      </c>
      <c r="E161" s="237"/>
      <c r="F161" s="237"/>
      <c r="G161" s="237" t="s">
        <v>128</v>
      </c>
      <c r="H161" s="237" t="s">
        <v>128</v>
      </c>
    </row>
    <row r="162" spans="1:8" s="238" customFormat="1" ht="48" customHeight="1">
      <c r="A162" s="234" t="s">
        <v>128</v>
      </c>
      <c r="B162" s="234">
        <v>2900</v>
      </c>
      <c r="C162" s="235" t="s">
        <v>182</v>
      </c>
      <c r="D162" s="236">
        <v>77000</v>
      </c>
      <c r="E162" s="237"/>
      <c r="F162" s="237"/>
      <c r="G162" s="237" t="s">
        <v>128</v>
      </c>
      <c r="H162" s="237" t="s">
        <v>128</v>
      </c>
    </row>
    <row r="163" spans="1:8" s="230" customFormat="1" ht="16.5" customHeight="1">
      <c r="A163" s="231">
        <v>85217</v>
      </c>
      <c r="B163" s="231" t="s">
        <v>128</v>
      </c>
      <c r="C163" s="232" t="s">
        <v>85</v>
      </c>
      <c r="D163" s="233">
        <f>D164</f>
        <v>5000</v>
      </c>
      <c r="E163" s="229"/>
      <c r="F163" s="229"/>
      <c r="G163" s="229" t="s">
        <v>128</v>
      </c>
      <c r="H163" s="229" t="s">
        <v>128</v>
      </c>
    </row>
    <row r="164" spans="1:8" s="238" customFormat="1" ht="16.5" customHeight="1">
      <c r="A164" s="234" t="s">
        <v>128</v>
      </c>
      <c r="B164" s="234" t="s">
        <v>4</v>
      </c>
      <c r="C164" s="235" t="s">
        <v>5</v>
      </c>
      <c r="D164" s="236">
        <v>5000</v>
      </c>
      <c r="E164" s="237"/>
      <c r="F164" s="237"/>
      <c r="G164" s="237" t="s">
        <v>128</v>
      </c>
      <c r="H164" s="237" t="s">
        <v>128</v>
      </c>
    </row>
    <row r="165" spans="1:8" s="230" customFormat="1" ht="16.5" customHeight="1">
      <c r="A165" s="226" t="s">
        <v>37</v>
      </c>
      <c r="B165" s="226" t="s">
        <v>128</v>
      </c>
      <c r="C165" s="239" t="s">
        <v>42</v>
      </c>
      <c r="D165" s="228">
        <f>D166+D168+D170+D173</f>
        <v>6553757</v>
      </c>
      <c r="E165" s="229"/>
      <c r="F165" s="229"/>
      <c r="G165" s="229" t="s">
        <v>128</v>
      </c>
      <c r="H165" s="229" t="s">
        <v>128</v>
      </c>
    </row>
    <row r="166" spans="1:8" s="230" customFormat="1" ht="16.5" customHeight="1">
      <c r="A166" s="231">
        <v>85324</v>
      </c>
      <c r="B166" s="231" t="s">
        <v>128</v>
      </c>
      <c r="C166" s="232" t="s">
        <v>86</v>
      </c>
      <c r="D166" s="233">
        <f>D167</f>
        <v>440550</v>
      </c>
      <c r="E166" s="229"/>
      <c r="F166" s="229"/>
      <c r="G166" s="229" t="s">
        <v>128</v>
      </c>
      <c r="H166" s="229" t="s">
        <v>128</v>
      </c>
    </row>
    <row r="167" spans="1:8" s="238" customFormat="1" ht="16.5" customHeight="1">
      <c r="A167" s="234" t="s">
        <v>128</v>
      </c>
      <c r="B167" s="234" t="s">
        <v>4</v>
      </c>
      <c r="C167" s="235" t="s">
        <v>5</v>
      </c>
      <c r="D167" s="236">
        <v>440550</v>
      </c>
      <c r="E167" s="237"/>
      <c r="F167" s="237"/>
      <c r="G167" s="237" t="s">
        <v>128</v>
      </c>
      <c r="H167" s="237" t="s">
        <v>128</v>
      </c>
    </row>
    <row r="168" spans="1:8" s="230" customFormat="1" ht="16.5" customHeight="1">
      <c r="A168" s="231">
        <v>85325</v>
      </c>
      <c r="B168" s="231" t="s">
        <v>128</v>
      </c>
      <c r="C168" s="232" t="s">
        <v>87</v>
      </c>
      <c r="D168" s="233">
        <f>D169</f>
        <v>1620000</v>
      </c>
      <c r="E168" s="229"/>
      <c r="F168" s="229"/>
      <c r="G168" s="229" t="s">
        <v>128</v>
      </c>
      <c r="H168" s="229" t="s">
        <v>128</v>
      </c>
    </row>
    <row r="169" spans="1:8" s="238" customFormat="1" ht="16.5" customHeight="1">
      <c r="A169" s="234" t="s">
        <v>128</v>
      </c>
      <c r="B169" s="234" t="s">
        <v>4</v>
      </c>
      <c r="C169" s="235" t="s">
        <v>5</v>
      </c>
      <c r="D169" s="236">
        <v>1620000</v>
      </c>
      <c r="E169" s="237"/>
      <c r="F169" s="237"/>
      <c r="G169" s="237" t="s">
        <v>128</v>
      </c>
      <c r="H169" s="237" t="s">
        <v>128</v>
      </c>
    </row>
    <row r="170" spans="1:8" s="230" customFormat="1" ht="16.5" customHeight="1">
      <c r="A170" s="231">
        <v>85332</v>
      </c>
      <c r="B170" s="231" t="s">
        <v>128</v>
      </c>
      <c r="C170" s="232" t="s">
        <v>43</v>
      </c>
      <c r="D170" s="233">
        <f>D171+D172</f>
        <v>4500</v>
      </c>
      <c r="E170" s="229"/>
      <c r="F170" s="229"/>
      <c r="G170" s="229" t="s">
        <v>128</v>
      </c>
      <c r="H170" s="229" t="s">
        <v>128</v>
      </c>
    </row>
    <row r="171" spans="1:8" s="238" customFormat="1" ht="16.5" customHeight="1">
      <c r="A171" s="234" t="s">
        <v>128</v>
      </c>
      <c r="B171" s="234" t="s">
        <v>4</v>
      </c>
      <c r="C171" s="235" t="s">
        <v>5</v>
      </c>
      <c r="D171" s="236">
        <v>3500</v>
      </c>
      <c r="E171" s="237"/>
      <c r="F171" s="237"/>
      <c r="G171" s="237" t="s">
        <v>128</v>
      </c>
      <c r="H171" s="237" t="s">
        <v>128</v>
      </c>
    </row>
    <row r="172" spans="1:8" s="238" customFormat="1" ht="32.25" customHeight="1">
      <c r="A172" s="234" t="s">
        <v>128</v>
      </c>
      <c r="B172" s="234">
        <v>2210</v>
      </c>
      <c r="C172" s="235" t="s">
        <v>134</v>
      </c>
      <c r="D172" s="236">
        <v>1000</v>
      </c>
      <c r="E172" s="237"/>
      <c r="F172" s="237"/>
      <c r="G172" s="237" t="s">
        <v>128</v>
      </c>
      <c r="H172" s="237" t="s">
        <v>128</v>
      </c>
    </row>
    <row r="173" spans="1:8" s="230" customFormat="1" ht="18" customHeight="1">
      <c r="A173" s="231">
        <v>85395</v>
      </c>
      <c r="B173" s="231" t="s">
        <v>128</v>
      </c>
      <c r="C173" s="232" t="s">
        <v>46</v>
      </c>
      <c r="D173" s="233">
        <f>D174+D175</f>
        <v>4488707</v>
      </c>
      <c r="E173" s="229"/>
      <c r="F173" s="229"/>
      <c r="G173" s="229" t="s">
        <v>128</v>
      </c>
      <c r="H173" s="229" t="s">
        <v>128</v>
      </c>
    </row>
    <row r="174" spans="1:8" s="238" customFormat="1" ht="42.95" customHeight="1">
      <c r="A174" s="234" t="s">
        <v>128</v>
      </c>
      <c r="B174" s="234">
        <v>2057</v>
      </c>
      <c r="C174" s="235" t="s">
        <v>131</v>
      </c>
      <c r="D174" s="236">
        <v>3704081</v>
      </c>
      <c r="E174" s="237"/>
      <c r="F174" s="237"/>
      <c r="G174" s="237" t="s">
        <v>128</v>
      </c>
      <c r="H174" s="237" t="s">
        <v>128</v>
      </c>
    </row>
    <row r="175" spans="1:8" s="238" customFormat="1" ht="42.95" customHeight="1">
      <c r="A175" s="234" t="s">
        <v>128</v>
      </c>
      <c r="B175" s="234">
        <v>2059</v>
      </c>
      <c r="C175" s="235" t="s">
        <v>131</v>
      </c>
      <c r="D175" s="236">
        <v>784626</v>
      </c>
      <c r="E175" s="237"/>
      <c r="F175" s="237"/>
      <c r="G175" s="237" t="s">
        <v>128</v>
      </c>
      <c r="H175" s="237" t="s">
        <v>128</v>
      </c>
    </row>
    <row r="176" spans="1:8" s="230" customFormat="1" ht="16.5" customHeight="1">
      <c r="A176" s="226" t="s">
        <v>7</v>
      </c>
      <c r="B176" s="226" t="s">
        <v>128</v>
      </c>
      <c r="C176" s="239" t="s">
        <v>8</v>
      </c>
      <c r="D176" s="228">
        <f>D177+D179+D181</f>
        <v>6950</v>
      </c>
      <c r="E176" s="229"/>
      <c r="F176" s="229"/>
      <c r="G176" s="229" t="s">
        <v>128</v>
      </c>
      <c r="H176" s="229" t="s">
        <v>128</v>
      </c>
    </row>
    <row r="177" spans="1:8" s="230" customFormat="1" ht="16.5" customHeight="1">
      <c r="A177" s="231">
        <v>85403</v>
      </c>
      <c r="B177" s="231" t="s">
        <v>128</v>
      </c>
      <c r="C177" s="232" t="s">
        <v>88</v>
      </c>
      <c r="D177" s="233">
        <f>D178</f>
        <v>6400</v>
      </c>
      <c r="E177" s="229"/>
      <c r="F177" s="229"/>
      <c r="G177" s="229" t="s">
        <v>128</v>
      </c>
      <c r="H177" s="229" t="s">
        <v>128</v>
      </c>
    </row>
    <row r="178" spans="1:8" s="238" customFormat="1" ht="16.5" customHeight="1">
      <c r="A178" s="234" t="s">
        <v>128</v>
      </c>
      <c r="B178" s="234" t="s">
        <v>4</v>
      </c>
      <c r="C178" s="235" t="s">
        <v>5</v>
      </c>
      <c r="D178" s="236">
        <v>6400</v>
      </c>
      <c r="E178" s="237"/>
      <c r="F178" s="237"/>
      <c r="G178" s="237" t="s">
        <v>128</v>
      </c>
      <c r="H178" s="237" t="s">
        <v>128</v>
      </c>
    </row>
    <row r="179" spans="1:8" s="230" customFormat="1" ht="16.5" customHeight="1">
      <c r="A179" s="231">
        <v>85404</v>
      </c>
      <c r="B179" s="231" t="s">
        <v>128</v>
      </c>
      <c r="C179" s="232" t="s">
        <v>89</v>
      </c>
      <c r="D179" s="233">
        <f>D180</f>
        <v>100</v>
      </c>
      <c r="E179" s="229"/>
      <c r="F179" s="229"/>
      <c r="G179" s="229" t="s">
        <v>128</v>
      </c>
      <c r="H179" s="229" t="s">
        <v>128</v>
      </c>
    </row>
    <row r="180" spans="1:8" s="238" customFormat="1" ht="16.5" customHeight="1">
      <c r="A180" s="234" t="s">
        <v>128</v>
      </c>
      <c r="B180" s="234" t="s">
        <v>4</v>
      </c>
      <c r="C180" s="235" t="s">
        <v>5</v>
      </c>
      <c r="D180" s="236">
        <v>100</v>
      </c>
      <c r="E180" s="237"/>
      <c r="F180" s="237"/>
      <c r="G180" s="237" t="s">
        <v>128</v>
      </c>
      <c r="H180" s="237" t="s">
        <v>128</v>
      </c>
    </row>
    <row r="181" spans="1:8" s="230" customFormat="1" ht="16.5" customHeight="1">
      <c r="A181" s="231">
        <v>85407</v>
      </c>
      <c r="B181" s="231" t="s">
        <v>128</v>
      </c>
      <c r="C181" s="232" t="s">
        <v>90</v>
      </c>
      <c r="D181" s="233">
        <f>D182</f>
        <v>450</v>
      </c>
      <c r="E181" s="229"/>
      <c r="F181" s="229"/>
      <c r="G181" s="229" t="s">
        <v>128</v>
      </c>
      <c r="H181" s="229" t="s">
        <v>128</v>
      </c>
    </row>
    <row r="182" spans="1:8" s="238" customFormat="1" ht="16.5" customHeight="1">
      <c r="A182" s="240" t="s">
        <v>128</v>
      </c>
      <c r="B182" s="240" t="s">
        <v>4</v>
      </c>
      <c r="C182" s="241" t="s">
        <v>5</v>
      </c>
      <c r="D182" s="242">
        <v>450</v>
      </c>
      <c r="E182" s="237"/>
      <c r="F182" s="237"/>
      <c r="G182" s="237" t="s">
        <v>128</v>
      </c>
      <c r="H182" s="237" t="s">
        <v>128</v>
      </c>
    </row>
    <row r="183" spans="1:8" s="230" customFormat="1" ht="16.5" customHeight="1">
      <c r="A183" s="226" t="s">
        <v>52</v>
      </c>
      <c r="B183" s="226" t="s">
        <v>128</v>
      </c>
      <c r="C183" s="239" t="s">
        <v>53</v>
      </c>
      <c r="D183" s="228">
        <f>D184</f>
        <v>3735000</v>
      </c>
      <c r="E183" s="229"/>
      <c r="F183" s="229"/>
      <c r="G183" s="229" t="s">
        <v>128</v>
      </c>
      <c r="H183" s="229" t="s">
        <v>128</v>
      </c>
    </row>
    <row r="184" spans="1:8" s="230" customFormat="1" ht="16.5" customHeight="1">
      <c r="A184" s="231">
        <v>85509</v>
      </c>
      <c r="B184" s="231" t="s">
        <v>128</v>
      </c>
      <c r="C184" s="232" t="s">
        <v>54</v>
      </c>
      <c r="D184" s="233">
        <f>D185</f>
        <v>3735000</v>
      </c>
      <c r="E184" s="229"/>
      <c r="F184" s="229"/>
      <c r="G184" s="229" t="s">
        <v>128</v>
      </c>
      <c r="H184" s="229" t="s">
        <v>128</v>
      </c>
    </row>
    <row r="185" spans="1:8" s="238" customFormat="1" ht="30.75" customHeight="1">
      <c r="A185" s="234" t="s">
        <v>128</v>
      </c>
      <c r="B185" s="234">
        <v>2210</v>
      </c>
      <c r="C185" s="235" t="s">
        <v>134</v>
      </c>
      <c r="D185" s="236">
        <v>3735000</v>
      </c>
      <c r="E185" s="237"/>
      <c r="F185" s="237"/>
      <c r="G185" s="237" t="s">
        <v>128</v>
      </c>
      <c r="H185" s="237" t="s">
        <v>128</v>
      </c>
    </row>
    <row r="186" spans="1:8" s="230" customFormat="1" ht="17.25" customHeight="1">
      <c r="A186" s="226" t="s">
        <v>38</v>
      </c>
      <c r="B186" s="226" t="s">
        <v>128</v>
      </c>
      <c r="C186" s="239" t="s">
        <v>39</v>
      </c>
      <c r="D186" s="228">
        <f>D187+D189+D191+D194+D196+D198+D200+D202</f>
        <v>2886187</v>
      </c>
      <c r="E186" s="229"/>
      <c r="F186" s="229"/>
      <c r="G186" s="229" t="s">
        <v>128</v>
      </c>
      <c r="H186" s="229" t="s">
        <v>128</v>
      </c>
    </row>
    <row r="187" spans="1:8" s="230" customFormat="1" ht="17.25" customHeight="1">
      <c r="A187" s="231">
        <v>90002</v>
      </c>
      <c r="B187" s="231" t="s">
        <v>128</v>
      </c>
      <c r="C187" s="232" t="s">
        <v>98</v>
      </c>
      <c r="D187" s="233">
        <f>D188</f>
        <v>2000</v>
      </c>
      <c r="E187" s="229"/>
      <c r="F187" s="229"/>
      <c r="G187" s="229" t="s">
        <v>128</v>
      </c>
      <c r="H187" s="229" t="s">
        <v>128</v>
      </c>
    </row>
    <row r="188" spans="1:8" s="238" customFormat="1" ht="34.5" customHeight="1">
      <c r="A188" s="234" t="s">
        <v>128</v>
      </c>
      <c r="B188" s="234">
        <v>2210</v>
      </c>
      <c r="C188" s="235" t="s">
        <v>134</v>
      </c>
      <c r="D188" s="236">
        <v>2000</v>
      </c>
      <c r="E188" s="237"/>
      <c r="F188" s="237"/>
      <c r="G188" s="237" t="s">
        <v>128</v>
      </c>
      <c r="H188" s="237" t="s">
        <v>128</v>
      </c>
    </row>
    <row r="189" spans="1:8" s="230" customFormat="1" ht="16.5" customHeight="1">
      <c r="A189" s="248">
        <v>90005</v>
      </c>
      <c r="B189" s="248" t="s">
        <v>128</v>
      </c>
      <c r="C189" s="249" t="s">
        <v>44</v>
      </c>
      <c r="D189" s="250">
        <f>D190</f>
        <v>339000</v>
      </c>
      <c r="E189" s="229"/>
      <c r="F189" s="229"/>
      <c r="G189" s="229" t="s">
        <v>128</v>
      </c>
      <c r="H189" s="229" t="s">
        <v>128</v>
      </c>
    </row>
    <row r="190" spans="1:8" s="238" customFormat="1" ht="33.75" customHeight="1">
      <c r="A190" s="243" t="s">
        <v>128</v>
      </c>
      <c r="B190" s="243">
        <v>2210</v>
      </c>
      <c r="C190" s="244" t="s">
        <v>134</v>
      </c>
      <c r="D190" s="245">
        <v>339000</v>
      </c>
      <c r="E190" s="237"/>
      <c r="F190" s="237"/>
      <c r="G190" s="237" t="s">
        <v>128</v>
      </c>
      <c r="H190" s="237" t="s">
        <v>128</v>
      </c>
    </row>
    <row r="191" spans="1:8" s="230" customFormat="1" ht="20.25" customHeight="1">
      <c r="A191" s="231">
        <v>90007</v>
      </c>
      <c r="B191" s="231" t="s">
        <v>128</v>
      </c>
      <c r="C191" s="232" t="s">
        <v>45</v>
      </c>
      <c r="D191" s="233">
        <f>D192+D193</f>
        <v>261950</v>
      </c>
      <c r="E191" s="229"/>
      <c r="F191" s="229"/>
      <c r="G191" s="229" t="s">
        <v>128</v>
      </c>
      <c r="H191" s="229" t="s">
        <v>128</v>
      </c>
    </row>
    <row r="192" spans="1:8" s="238" customFormat="1" ht="33" customHeight="1">
      <c r="A192" s="234" t="s">
        <v>128</v>
      </c>
      <c r="B192" s="234">
        <v>2210</v>
      </c>
      <c r="C192" s="235" t="s">
        <v>134</v>
      </c>
      <c r="D192" s="236">
        <v>59000</v>
      </c>
      <c r="E192" s="237"/>
      <c r="F192" s="237"/>
      <c r="G192" s="237" t="s">
        <v>128</v>
      </c>
      <c r="H192" s="237" t="s">
        <v>128</v>
      </c>
    </row>
    <row r="193" spans="1:8" s="238" customFormat="1" ht="35.25" customHeight="1">
      <c r="A193" s="234" t="s">
        <v>128</v>
      </c>
      <c r="B193" s="234">
        <v>2460</v>
      </c>
      <c r="C193" s="235" t="s">
        <v>135</v>
      </c>
      <c r="D193" s="236">
        <v>202950</v>
      </c>
      <c r="E193" s="237"/>
      <c r="F193" s="237"/>
      <c r="G193" s="237" t="s">
        <v>128</v>
      </c>
      <c r="H193" s="237" t="s">
        <v>128</v>
      </c>
    </row>
    <row r="194" spans="1:8" s="230" customFormat="1" ht="25.5">
      <c r="A194" s="231">
        <v>90019</v>
      </c>
      <c r="B194" s="231" t="s">
        <v>128</v>
      </c>
      <c r="C194" s="232" t="s">
        <v>91</v>
      </c>
      <c r="D194" s="233">
        <f>D195</f>
        <v>910000</v>
      </c>
      <c r="E194" s="229"/>
      <c r="F194" s="229"/>
      <c r="G194" s="229" t="s">
        <v>128</v>
      </c>
      <c r="H194" s="229" t="s">
        <v>128</v>
      </c>
    </row>
    <row r="195" spans="1:8" s="238" customFormat="1" ht="15.75" customHeight="1">
      <c r="A195" s="234" t="s">
        <v>128</v>
      </c>
      <c r="B195" s="234" t="s">
        <v>47</v>
      </c>
      <c r="C195" s="235" t="s">
        <v>48</v>
      </c>
      <c r="D195" s="236">
        <v>910000</v>
      </c>
      <c r="E195" s="237"/>
      <c r="F195" s="237"/>
      <c r="G195" s="237" t="s">
        <v>128</v>
      </c>
      <c r="H195" s="237" t="s">
        <v>128</v>
      </c>
    </row>
    <row r="196" spans="1:8" s="230" customFormat="1" ht="15.75" customHeight="1">
      <c r="A196" s="231">
        <v>90020</v>
      </c>
      <c r="B196" s="231" t="s">
        <v>128</v>
      </c>
      <c r="C196" s="232" t="s">
        <v>92</v>
      </c>
      <c r="D196" s="233">
        <f>D197</f>
        <v>47500</v>
      </c>
      <c r="E196" s="229"/>
      <c r="F196" s="229"/>
      <c r="G196" s="229" t="s">
        <v>128</v>
      </c>
      <c r="H196" s="229" t="s">
        <v>128</v>
      </c>
    </row>
    <row r="197" spans="1:8" s="238" customFormat="1" ht="15.75" customHeight="1">
      <c r="A197" s="234" t="s">
        <v>128</v>
      </c>
      <c r="B197" s="234" t="s">
        <v>183</v>
      </c>
      <c r="C197" s="235" t="s">
        <v>184</v>
      </c>
      <c r="D197" s="236">
        <v>47500</v>
      </c>
      <c r="E197" s="237"/>
      <c r="F197" s="237"/>
      <c r="G197" s="237" t="s">
        <v>128</v>
      </c>
      <c r="H197" s="237" t="s">
        <v>128</v>
      </c>
    </row>
    <row r="198" spans="1:8" s="230" customFormat="1" ht="15.75" customHeight="1">
      <c r="A198" s="231">
        <v>90024</v>
      </c>
      <c r="B198" s="231" t="s">
        <v>128</v>
      </c>
      <c r="C198" s="232" t="s">
        <v>185</v>
      </c>
      <c r="D198" s="233">
        <f>D199</f>
        <v>1770</v>
      </c>
      <c r="E198" s="229"/>
      <c r="F198" s="229"/>
      <c r="G198" s="229" t="s">
        <v>128</v>
      </c>
      <c r="H198" s="229" t="s">
        <v>128</v>
      </c>
    </row>
    <row r="199" spans="1:8" s="238" customFormat="1" ht="15.75" customHeight="1">
      <c r="A199" s="234" t="s">
        <v>128</v>
      </c>
      <c r="B199" s="234" t="s">
        <v>47</v>
      </c>
      <c r="C199" s="235" t="s">
        <v>48</v>
      </c>
      <c r="D199" s="236">
        <v>1770</v>
      </c>
      <c r="E199" s="237"/>
      <c r="F199" s="237"/>
      <c r="G199" s="237" t="s">
        <v>128</v>
      </c>
      <c r="H199" s="237" t="s">
        <v>128</v>
      </c>
    </row>
    <row r="200" spans="1:8" s="230" customFormat="1" ht="15.75" customHeight="1">
      <c r="A200" s="231">
        <v>90026</v>
      </c>
      <c r="B200" s="231" t="s">
        <v>128</v>
      </c>
      <c r="C200" s="232" t="s">
        <v>93</v>
      </c>
      <c r="D200" s="233">
        <f>D201</f>
        <v>101010</v>
      </c>
      <c r="E200" s="229"/>
      <c r="F200" s="229"/>
      <c r="G200" s="229" t="s">
        <v>128</v>
      </c>
      <c r="H200" s="229" t="s">
        <v>128</v>
      </c>
    </row>
    <row r="201" spans="1:8" s="238" customFormat="1" ht="15.75" customHeight="1">
      <c r="A201" s="234" t="s">
        <v>128</v>
      </c>
      <c r="B201" s="234" t="s">
        <v>186</v>
      </c>
      <c r="C201" s="235" t="s">
        <v>187</v>
      </c>
      <c r="D201" s="236">
        <v>101010</v>
      </c>
      <c r="E201" s="237"/>
      <c r="F201" s="237"/>
      <c r="G201" s="237" t="s">
        <v>128</v>
      </c>
      <c r="H201" s="237" t="s">
        <v>128</v>
      </c>
    </row>
    <row r="202" spans="1:8" s="230" customFormat="1" ht="15.75" customHeight="1">
      <c r="A202" s="231">
        <v>90095</v>
      </c>
      <c r="B202" s="231" t="s">
        <v>128</v>
      </c>
      <c r="C202" s="232" t="s">
        <v>46</v>
      </c>
      <c r="D202" s="233">
        <f>SUM(D203:D205)</f>
        <v>1222957</v>
      </c>
      <c r="E202" s="229"/>
      <c r="F202" s="229"/>
      <c r="G202" s="229" t="s">
        <v>128</v>
      </c>
      <c r="H202" s="229" t="s">
        <v>128</v>
      </c>
    </row>
    <row r="203" spans="1:8" s="238" customFormat="1" ht="15.75" customHeight="1">
      <c r="A203" s="234" t="s">
        <v>128</v>
      </c>
      <c r="B203" s="234" t="s">
        <v>47</v>
      </c>
      <c r="C203" s="235" t="s">
        <v>48</v>
      </c>
      <c r="D203" s="236">
        <v>234907</v>
      </c>
      <c r="E203" s="237"/>
      <c r="F203" s="237"/>
      <c r="G203" s="237" t="s">
        <v>128</v>
      </c>
      <c r="H203" s="237" t="s">
        <v>128</v>
      </c>
    </row>
    <row r="204" spans="1:8" s="238" customFormat="1" ht="42.95" customHeight="1">
      <c r="A204" s="234" t="s">
        <v>128</v>
      </c>
      <c r="B204" s="234">
        <v>2058</v>
      </c>
      <c r="C204" s="235" t="s">
        <v>131</v>
      </c>
      <c r="D204" s="236">
        <v>198050</v>
      </c>
      <c r="E204" s="237"/>
      <c r="F204" s="237"/>
      <c r="G204" s="237" t="s">
        <v>128</v>
      </c>
      <c r="H204" s="237" t="s">
        <v>128</v>
      </c>
    </row>
    <row r="205" spans="1:8" s="238" customFormat="1" ht="33.75" customHeight="1">
      <c r="A205" s="234" t="s">
        <v>128</v>
      </c>
      <c r="B205" s="234">
        <v>2210</v>
      </c>
      <c r="C205" s="235" t="s">
        <v>134</v>
      </c>
      <c r="D205" s="236">
        <v>790000</v>
      </c>
      <c r="E205" s="237"/>
      <c r="F205" s="237"/>
      <c r="G205" s="237" t="s">
        <v>128</v>
      </c>
      <c r="H205" s="237" t="s">
        <v>128</v>
      </c>
    </row>
    <row r="206" spans="1:8" s="230" customFormat="1" ht="18.75" customHeight="1">
      <c r="A206" s="226" t="s">
        <v>40</v>
      </c>
      <c r="B206" s="226" t="s">
        <v>128</v>
      </c>
      <c r="C206" s="239" t="s">
        <v>41</v>
      </c>
      <c r="D206" s="228">
        <f>D207+D209+D211+D213</f>
        <v>32233196</v>
      </c>
      <c r="E206" s="229"/>
      <c r="F206" s="229"/>
      <c r="G206" s="229" t="s">
        <v>128</v>
      </c>
      <c r="H206" s="229" t="s">
        <v>128</v>
      </c>
    </row>
    <row r="207" spans="1:8" s="230" customFormat="1" ht="18.75" customHeight="1">
      <c r="A207" s="231">
        <v>92105</v>
      </c>
      <c r="B207" s="231" t="s">
        <v>128</v>
      </c>
      <c r="C207" s="232" t="s">
        <v>271</v>
      </c>
      <c r="D207" s="233">
        <f>D208</f>
        <v>470000</v>
      </c>
      <c r="E207" s="229"/>
      <c r="F207" s="229"/>
      <c r="G207" s="229" t="s">
        <v>128</v>
      </c>
      <c r="H207" s="229" t="s">
        <v>128</v>
      </c>
    </row>
    <row r="208" spans="1:8" s="238" customFormat="1" ht="28.5" customHeight="1">
      <c r="A208" s="234" t="s">
        <v>128</v>
      </c>
      <c r="B208" s="234">
        <v>2710</v>
      </c>
      <c r="C208" s="235" t="s">
        <v>272</v>
      </c>
      <c r="D208" s="236">
        <v>470000</v>
      </c>
      <c r="E208" s="237"/>
      <c r="F208" s="237"/>
      <c r="G208" s="237" t="s">
        <v>128</v>
      </c>
      <c r="H208" s="237" t="s">
        <v>128</v>
      </c>
    </row>
    <row r="209" spans="1:8" s="230" customFormat="1" ht="14.25" customHeight="1">
      <c r="A209" s="231">
        <v>92106</v>
      </c>
      <c r="B209" s="231" t="s">
        <v>128</v>
      </c>
      <c r="C209" s="232" t="s">
        <v>205</v>
      </c>
      <c r="D209" s="233">
        <f>D210</f>
        <v>27877203</v>
      </c>
      <c r="E209" s="229"/>
      <c r="F209" s="229"/>
      <c r="G209" s="229" t="s">
        <v>128</v>
      </c>
      <c r="H209" s="229" t="s">
        <v>128</v>
      </c>
    </row>
    <row r="210" spans="1:8" s="238" customFormat="1" ht="44.25" customHeight="1">
      <c r="A210" s="234" t="s">
        <v>128</v>
      </c>
      <c r="B210" s="234">
        <v>6300</v>
      </c>
      <c r="C210" s="235" t="s">
        <v>146</v>
      </c>
      <c r="D210" s="236">
        <v>27877203</v>
      </c>
      <c r="E210" s="237"/>
      <c r="F210" s="237"/>
      <c r="G210" s="237" t="s">
        <v>128</v>
      </c>
      <c r="H210" s="237" t="s">
        <v>128</v>
      </c>
    </row>
    <row r="211" spans="1:8" s="230" customFormat="1" ht="15" customHeight="1">
      <c r="A211" s="231">
        <v>92109</v>
      </c>
      <c r="B211" s="231" t="s">
        <v>128</v>
      </c>
      <c r="C211" s="232" t="s">
        <v>94</v>
      </c>
      <c r="D211" s="233">
        <f>D212</f>
        <v>85993</v>
      </c>
      <c r="E211" s="229"/>
      <c r="F211" s="229"/>
      <c r="G211" s="229" t="s">
        <v>128</v>
      </c>
      <c r="H211" s="229" t="s">
        <v>128</v>
      </c>
    </row>
    <row r="212" spans="1:8" s="238" customFormat="1" ht="31.5" customHeight="1">
      <c r="A212" s="234" t="s">
        <v>128</v>
      </c>
      <c r="B212" s="234">
        <v>2310</v>
      </c>
      <c r="C212" s="235" t="s">
        <v>154</v>
      </c>
      <c r="D212" s="236">
        <v>85993</v>
      </c>
      <c r="E212" s="237"/>
      <c r="F212" s="237"/>
      <c r="G212" s="237" t="s">
        <v>128</v>
      </c>
      <c r="H212" s="237" t="s">
        <v>128</v>
      </c>
    </row>
    <row r="213" spans="1:8" s="230" customFormat="1" ht="12.75">
      <c r="A213" s="231">
        <v>92116</v>
      </c>
      <c r="B213" s="231" t="s">
        <v>128</v>
      </c>
      <c r="C213" s="232" t="s">
        <v>95</v>
      </c>
      <c r="D213" s="233">
        <f>D214</f>
        <v>3800000</v>
      </c>
      <c r="E213" s="229"/>
      <c r="F213" s="229"/>
      <c r="G213" s="229" t="s">
        <v>128</v>
      </c>
      <c r="H213" s="229" t="s">
        <v>128</v>
      </c>
    </row>
    <row r="214" spans="1:8" s="238" customFormat="1" ht="31.5" customHeight="1">
      <c r="A214" s="240" t="s">
        <v>128</v>
      </c>
      <c r="B214" s="240">
        <v>2310</v>
      </c>
      <c r="C214" s="241" t="s">
        <v>154</v>
      </c>
      <c r="D214" s="242">
        <v>3800000</v>
      </c>
      <c r="E214" s="237"/>
      <c r="F214" s="237"/>
      <c r="G214" s="237" t="s">
        <v>128</v>
      </c>
      <c r="H214" s="237" t="s">
        <v>128</v>
      </c>
    </row>
    <row r="215" spans="1:8" s="230" customFormat="1" ht="31.5" customHeight="1">
      <c r="A215" s="226" t="s">
        <v>120</v>
      </c>
      <c r="B215" s="226" t="s">
        <v>128</v>
      </c>
      <c r="C215" s="239" t="s">
        <v>96</v>
      </c>
      <c r="D215" s="228">
        <f>D216</f>
        <v>2264869</v>
      </c>
      <c r="E215" s="229"/>
      <c r="F215" s="229"/>
      <c r="G215" s="229" t="s">
        <v>128</v>
      </c>
      <c r="H215" s="229" t="s">
        <v>128</v>
      </c>
    </row>
    <row r="216" spans="1:8" s="230" customFormat="1" ht="15.75" customHeight="1">
      <c r="A216" s="231">
        <v>92502</v>
      </c>
      <c r="B216" s="231" t="s">
        <v>128</v>
      </c>
      <c r="C216" s="232" t="s">
        <v>97</v>
      </c>
      <c r="D216" s="233">
        <f>SUM(D217:D220)</f>
        <v>2264869</v>
      </c>
      <c r="E216" s="229"/>
      <c r="F216" s="229"/>
      <c r="G216" s="229" t="s">
        <v>128</v>
      </c>
      <c r="H216" s="229" t="s">
        <v>128</v>
      </c>
    </row>
    <row r="217" spans="1:8" s="238" customFormat="1" ht="38.25">
      <c r="A217" s="234" t="s">
        <v>128</v>
      </c>
      <c r="B217" s="234" t="s">
        <v>136</v>
      </c>
      <c r="C217" s="235" t="s">
        <v>137</v>
      </c>
      <c r="D217" s="236">
        <v>3294</v>
      </c>
      <c r="E217" s="237"/>
      <c r="F217" s="237"/>
      <c r="G217" s="237" t="s">
        <v>128</v>
      </c>
      <c r="H217" s="237" t="s">
        <v>128</v>
      </c>
    </row>
    <row r="218" spans="1:8" s="238" customFormat="1" ht="17.25" customHeight="1">
      <c r="A218" s="234" t="s">
        <v>128</v>
      </c>
      <c r="B218" s="234" t="s">
        <v>4</v>
      </c>
      <c r="C218" s="235" t="s">
        <v>5</v>
      </c>
      <c r="D218" s="236">
        <v>60000</v>
      </c>
      <c r="E218" s="237"/>
      <c r="F218" s="237"/>
      <c r="G218" s="237" t="s">
        <v>128</v>
      </c>
      <c r="H218" s="237" t="s">
        <v>128</v>
      </c>
    </row>
    <row r="219" spans="1:8" s="238" customFormat="1" ht="25.5">
      <c r="A219" s="234" t="s">
        <v>128</v>
      </c>
      <c r="B219" s="234">
        <v>2230</v>
      </c>
      <c r="C219" s="235" t="s">
        <v>158</v>
      </c>
      <c r="D219" s="236">
        <v>2190000</v>
      </c>
      <c r="E219" s="237"/>
      <c r="F219" s="237"/>
      <c r="G219" s="237" t="s">
        <v>128</v>
      </c>
      <c r="H219" s="237" t="s">
        <v>128</v>
      </c>
    </row>
    <row r="220" spans="1:8" s="238" customFormat="1" ht="30" customHeight="1">
      <c r="A220" s="240" t="s">
        <v>128</v>
      </c>
      <c r="B220" s="240">
        <v>2460</v>
      </c>
      <c r="C220" s="241" t="s">
        <v>135</v>
      </c>
      <c r="D220" s="242">
        <v>11575</v>
      </c>
      <c r="E220" s="237"/>
      <c r="F220" s="237"/>
      <c r="G220" s="237" t="s">
        <v>128</v>
      </c>
      <c r="H220" s="237" t="s">
        <v>128</v>
      </c>
    </row>
    <row r="221" spans="1:8" s="238" customFormat="1" ht="12.75">
      <c r="A221" s="252"/>
      <c r="B221" s="253"/>
    </row>
    <row r="222" spans="1:8">
      <c r="D222" s="186"/>
    </row>
  </sheetData>
  <sheetProtection algorithmName="SHA-512" hashValue="PY16Gdv6/bRXLnPuHtY7IzlIlj/4z8ltZbJYy3nEfCTk0OaJbUg2SD0UUIzJNYiYpnKSPc/QZrfTlI1kU+8VQA==" saltValue="PlktzipBpwsVhhKv20vUKw==" spinCount="100000" sheet="1" objects="1" scenarios="1"/>
  <mergeCells count="5">
    <mergeCell ref="C1:D1"/>
    <mergeCell ref="C2:D2"/>
    <mergeCell ref="C3:D3"/>
    <mergeCell ref="A5:D5"/>
    <mergeCell ref="A6:D6"/>
  </mergeCells>
  <printOptions horizontalCentered="1"/>
  <pageMargins left="0.98425196850393704" right="0.98425196850393704" top="0.98425196850393704" bottom="0.74803149606299213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42"/>
  <sheetViews>
    <sheetView view="pageBreakPreview" zoomScaleNormal="100" zoomScaleSheetLayoutView="100" workbookViewId="0">
      <selection activeCell="C21" sqref="C21"/>
    </sheetView>
  </sheetViews>
  <sheetFormatPr defaultRowHeight="12.75"/>
  <cols>
    <col min="1" max="1" width="7" style="262" customWidth="1"/>
    <col min="2" max="2" width="33.875" style="263" customWidth="1"/>
    <col min="3" max="3" width="14.5" style="264" customWidth="1"/>
    <col min="4" max="4" width="12.75" style="264" customWidth="1"/>
    <col min="5" max="6" width="13.25" style="264" customWidth="1"/>
    <col min="7" max="7" width="12.75" style="264" customWidth="1"/>
    <col min="8" max="8" width="11.875" style="264" customWidth="1"/>
    <col min="9" max="9" width="11.25" style="264" customWidth="1"/>
    <col min="10" max="10" width="14.25" style="264" customWidth="1"/>
    <col min="11" max="11" width="13.25" style="264" customWidth="1"/>
    <col min="12" max="12" width="12.375" style="264" customWidth="1"/>
    <col min="13" max="13" width="13.25" style="264" customWidth="1"/>
    <col min="14" max="14" width="14.5" style="264" customWidth="1"/>
    <col min="15" max="15" width="12.75" style="264" customWidth="1"/>
    <col min="16" max="256" width="9" style="263"/>
    <col min="257" max="257" width="7" style="263" customWidth="1"/>
    <col min="258" max="258" width="33.875" style="263" customWidth="1"/>
    <col min="259" max="259" width="14.5" style="263" customWidth="1"/>
    <col min="260" max="260" width="12.75" style="263" customWidth="1"/>
    <col min="261" max="262" width="13.25" style="263" customWidth="1"/>
    <col min="263" max="263" width="12.75" style="263" customWidth="1"/>
    <col min="264" max="264" width="11.875" style="263" customWidth="1"/>
    <col min="265" max="265" width="11.25" style="263" customWidth="1"/>
    <col min="266" max="266" width="14.25" style="263" customWidth="1"/>
    <col min="267" max="267" width="13.25" style="263" customWidth="1"/>
    <col min="268" max="268" width="12.375" style="263" customWidth="1"/>
    <col min="269" max="269" width="13.25" style="263" customWidth="1"/>
    <col min="270" max="270" width="14.5" style="263" customWidth="1"/>
    <col min="271" max="271" width="12.75" style="263" customWidth="1"/>
    <col min="272" max="512" width="9" style="263"/>
    <col min="513" max="513" width="7" style="263" customWidth="1"/>
    <col min="514" max="514" width="33.875" style="263" customWidth="1"/>
    <col min="515" max="515" width="14.5" style="263" customWidth="1"/>
    <col min="516" max="516" width="12.75" style="263" customWidth="1"/>
    <col min="517" max="518" width="13.25" style="263" customWidth="1"/>
    <col min="519" max="519" width="12.75" style="263" customWidth="1"/>
    <col min="520" max="520" width="11.875" style="263" customWidth="1"/>
    <col min="521" max="521" width="11.25" style="263" customWidth="1"/>
    <col min="522" max="522" width="14.25" style="263" customWidth="1"/>
    <col min="523" max="523" width="13.25" style="263" customWidth="1"/>
    <col min="524" max="524" width="12.375" style="263" customWidth="1"/>
    <col min="525" max="525" width="13.25" style="263" customWidth="1"/>
    <col min="526" max="526" width="14.5" style="263" customWidth="1"/>
    <col min="527" max="527" width="12.75" style="263" customWidth="1"/>
    <col min="528" max="768" width="9" style="263"/>
    <col min="769" max="769" width="7" style="263" customWidth="1"/>
    <col min="770" max="770" width="33.875" style="263" customWidth="1"/>
    <col min="771" max="771" width="14.5" style="263" customWidth="1"/>
    <col min="772" max="772" width="12.75" style="263" customWidth="1"/>
    <col min="773" max="774" width="13.25" style="263" customWidth="1"/>
    <col min="775" max="775" width="12.75" style="263" customWidth="1"/>
    <col min="776" max="776" width="11.875" style="263" customWidth="1"/>
    <col min="777" max="777" width="11.25" style="263" customWidth="1"/>
    <col min="778" max="778" width="14.25" style="263" customWidth="1"/>
    <col min="779" max="779" width="13.25" style="263" customWidth="1"/>
    <col min="780" max="780" width="12.375" style="263" customWidth="1"/>
    <col min="781" max="781" width="13.25" style="263" customWidth="1"/>
    <col min="782" max="782" width="14.5" style="263" customWidth="1"/>
    <col min="783" max="783" width="12.75" style="263" customWidth="1"/>
    <col min="784" max="1024" width="9" style="263"/>
    <col min="1025" max="1025" width="7" style="263" customWidth="1"/>
    <col min="1026" max="1026" width="33.875" style="263" customWidth="1"/>
    <col min="1027" max="1027" width="14.5" style="263" customWidth="1"/>
    <col min="1028" max="1028" width="12.75" style="263" customWidth="1"/>
    <col min="1029" max="1030" width="13.25" style="263" customWidth="1"/>
    <col min="1031" max="1031" width="12.75" style="263" customWidth="1"/>
    <col min="1032" max="1032" width="11.875" style="263" customWidth="1"/>
    <col min="1033" max="1033" width="11.25" style="263" customWidth="1"/>
    <col min="1034" max="1034" width="14.25" style="263" customWidth="1"/>
    <col min="1035" max="1035" width="13.25" style="263" customWidth="1"/>
    <col min="1036" max="1036" width="12.375" style="263" customWidth="1"/>
    <col min="1037" max="1037" width="13.25" style="263" customWidth="1"/>
    <col min="1038" max="1038" width="14.5" style="263" customWidth="1"/>
    <col min="1039" max="1039" width="12.75" style="263" customWidth="1"/>
    <col min="1040" max="1280" width="9" style="263"/>
    <col min="1281" max="1281" width="7" style="263" customWidth="1"/>
    <col min="1282" max="1282" width="33.875" style="263" customWidth="1"/>
    <col min="1283" max="1283" width="14.5" style="263" customWidth="1"/>
    <col min="1284" max="1284" width="12.75" style="263" customWidth="1"/>
    <col min="1285" max="1286" width="13.25" style="263" customWidth="1"/>
    <col min="1287" max="1287" width="12.75" style="263" customWidth="1"/>
    <col min="1288" max="1288" width="11.875" style="263" customWidth="1"/>
    <col min="1289" max="1289" width="11.25" style="263" customWidth="1"/>
    <col min="1290" max="1290" width="14.25" style="263" customWidth="1"/>
    <col min="1291" max="1291" width="13.25" style="263" customWidth="1"/>
    <col min="1292" max="1292" width="12.375" style="263" customWidth="1"/>
    <col min="1293" max="1293" width="13.25" style="263" customWidth="1"/>
    <col min="1294" max="1294" width="14.5" style="263" customWidth="1"/>
    <col min="1295" max="1295" width="12.75" style="263" customWidth="1"/>
    <col min="1296" max="1536" width="9" style="263"/>
    <col min="1537" max="1537" width="7" style="263" customWidth="1"/>
    <col min="1538" max="1538" width="33.875" style="263" customWidth="1"/>
    <col min="1539" max="1539" width="14.5" style="263" customWidth="1"/>
    <col min="1540" max="1540" width="12.75" style="263" customWidth="1"/>
    <col min="1541" max="1542" width="13.25" style="263" customWidth="1"/>
    <col min="1543" max="1543" width="12.75" style="263" customWidth="1"/>
    <col min="1544" max="1544" width="11.875" style="263" customWidth="1"/>
    <col min="1545" max="1545" width="11.25" style="263" customWidth="1"/>
    <col min="1546" max="1546" width="14.25" style="263" customWidth="1"/>
    <col min="1547" max="1547" width="13.25" style="263" customWidth="1"/>
    <col min="1548" max="1548" width="12.375" style="263" customWidth="1"/>
    <col min="1549" max="1549" width="13.25" style="263" customWidth="1"/>
    <col min="1550" max="1550" width="14.5" style="263" customWidth="1"/>
    <col min="1551" max="1551" width="12.75" style="263" customWidth="1"/>
    <col min="1552" max="1792" width="9" style="263"/>
    <col min="1793" max="1793" width="7" style="263" customWidth="1"/>
    <col min="1794" max="1794" width="33.875" style="263" customWidth="1"/>
    <col min="1795" max="1795" width="14.5" style="263" customWidth="1"/>
    <col min="1796" max="1796" width="12.75" style="263" customWidth="1"/>
    <col min="1797" max="1798" width="13.25" style="263" customWidth="1"/>
    <col min="1799" max="1799" width="12.75" style="263" customWidth="1"/>
    <col min="1800" max="1800" width="11.875" style="263" customWidth="1"/>
    <col min="1801" max="1801" width="11.25" style="263" customWidth="1"/>
    <col min="1802" max="1802" width="14.25" style="263" customWidth="1"/>
    <col min="1803" max="1803" width="13.25" style="263" customWidth="1"/>
    <col min="1804" max="1804" width="12.375" style="263" customWidth="1"/>
    <col min="1805" max="1805" width="13.25" style="263" customWidth="1"/>
    <col min="1806" max="1806" width="14.5" style="263" customWidth="1"/>
    <col min="1807" max="1807" width="12.75" style="263" customWidth="1"/>
    <col min="1808" max="2048" width="9" style="263"/>
    <col min="2049" max="2049" width="7" style="263" customWidth="1"/>
    <col min="2050" max="2050" width="33.875" style="263" customWidth="1"/>
    <col min="2051" max="2051" width="14.5" style="263" customWidth="1"/>
    <col min="2052" max="2052" width="12.75" style="263" customWidth="1"/>
    <col min="2053" max="2054" width="13.25" style="263" customWidth="1"/>
    <col min="2055" max="2055" width="12.75" style="263" customWidth="1"/>
    <col min="2056" max="2056" width="11.875" style="263" customWidth="1"/>
    <col min="2057" max="2057" width="11.25" style="263" customWidth="1"/>
    <col min="2058" max="2058" width="14.25" style="263" customWidth="1"/>
    <col min="2059" max="2059" width="13.25" style="263" customWidth="1"/>
    <col min="2060" max="2060" width="12.375" style="263" customWidth="1"/>
    <col min="2061" max="2061" width="13.25" style="263" customWidth="1"/>
    <col min="2062" max="2062" width="14.5" style="263" customWidth="1"/>
    <col min="2063" max="2063" width="12.75" style="263" customWidth="1"/>
    <col min="2064" max="2304" width="9" style="263"/>
    <col min="2305" max="2305" width="7" style="263" customWidth="1"/>
    <col min="2306" max="2306" width="33.875" style="263" customWidth="1"/>
    <col min="2307" max="2307" width="14.5" style="263" customWidth="1"/>
    <col min="2308" max="2308" width="12.75" style="263" customWidth="1"/>
    <col min="2309" max="2310" width="13.25" style="263" customWidth="1"/>
    <col min="2311" max="2311" width="12.75" style="263" customWidth="1"/>
    <col min="2312" max="2312" width="11.875" style="263" customWidth="1"/>
    <col min="2313" max="2313" width="11.25" style="263" customWidth="1"/>
    <col min="2314" max="2314" width="14.25" style="263" customWidth="1"/>
    <col min="2315" max="2315" width="13.25" style="263" customWidth="1"/>
    <col min="2316" max="2316" width="12.375" style="263" customWidth="1"/>
    <col min="2317" max="2317" width="13.25" style="263" customWidth="1"/>
    <col min="2318" max="2318" width="14.5" style="263" customWidth="1"/>
    <col min="2319" max="2319" width="12.75" style="263" customWidth="1"/>
    <col min="2320" max="2560" width="9" style="263"/>
    <col min="2561" max="2561" width="7" style="263" customWidth="1"/>
    <col min="2562" max="2562" width="33.875" style="263" customWidth="1"/>
    <col min="2563" max="2563" width="14.5" style="263" customWidth="1"/>
    <col min="2564" max="2564" width="12.75" style="263" customWidth="1"/>
    <col min="2565" max="2566" width="13.25" style="263" customWidth="1"/>
    <col min="2567" max="2567" width="12.75" style="263" customWidth="1"/>
    <col min="2568" max="2568" width="11.875" style="263" customWidth="1"/>
    <col min="2569" max="2569" width="11.25" style="263" customWidth="1"/>
    <col min="2570" max="2570" width="14.25" style="263" customWidth="1"/>
    <col min="2571" max="2571" width="13.25" style="263" customWidth="1"/>
    <col min="2572" max="2572" width="12.375" style="263" customWidth="1"/>
    <col min="2573" max="2573" width="13.25" style="263" customWidth="1"/>
    <col min="2574" max="2574" width="14.5" style="263" customWidth="1"/>
    <col min="2575" max="2575" width="12.75" style="263" customWidth="1"/>
    <col min="2576" max="2816" width="9" style="263"/>
    <col min="2817" max="2817" width="7" style="263" customWidth="1"/>
    <col min="2818" max="2818" width="33.875" style="263" customWidth="1"/>
    <col min="2819" max="2819" width="14.5" style="263" customWidth="1"/>
    <col min="2820" max="2820" width="12.75" style="263" customWidth="1"/>
    <col min="2821" max="2822" width="13.25" style="263" customWidth="1"/>
    <col min="2823" max="2823" width="12.75" style="263" customWidth="1"/>
    <col min="2824" max="2824" width="11.875" style="263" customWidth="1"/>
    <col min="2825" max="2825" width="11.25" style="263" customWidth="1"/>
    <col min="2826" max="2826" width="14.25" style="263" customWidth="1"/>
    <col min="2827" max="2827" width="13.25" style="263" customWidth="1"/>
    <col min="2828" max="2828" width="12.375" style="263" customWidth="1"/>
    <col min="2829" max="2829" width="13.25" style="263" customWidth="1"/>
    <col min="2830" max="2830" width="14.5" style="263" customWidth="1"/>
    <col min="2831" max="2831" width="12.75" style="263" customWidth="1"/>
    <col min="2832" max="3072" width="9" style="263"/>
    <col min="3073" max="3073" width="7" style="263" customWidth="1"/>
    <col min="3074" max="3074" width="33.875" style="263" customWidth="1"/>
    <col min="3075" max="3075" width="14.5" style="263" customWidth="1"/>
    <col min="3076" max="3076" width="12.75" style="263" customWidth="1"/>
    <col min="3077" max="3078" width="13.25" style="263" customWidth="1"/>
    <col min="3079" max="3079" width="12.75" style="263" customWidth="1"/>
    <col min="3080" max="3080" width="11.875" style="263" customWidth="1"/>
    <col min="3081" max="3081" width="11.25" style="263" customWidth="1"/>
    <col min="3082" max="3082" width="14.25" style="263" customWidth="1"/>
    <col min="3083" max="3083" width="13.25" style="263" customWidth="1"/>
    <col min="3084" max="3084" width="12.375" style="263" customWidth="1"/>
    <col min="3085" max="3085" width="13.25" style="263" customWidth="1"/>
    <col min="3086" max="3086" width="14.5" style="263" customWidth="1"/>
    <col min="3087" max="3087" width="12.75" style="263" customWidth="1"/>
    <col min="3088" max="3328" width="9" style="263"/>
    <col min="3329" max="3329" width="7" style="263" customWidth="1"/>
    <col min="3330" max="3330" width="33.875" style="263" customWidth="1"/>
    <col min="3331" max="3331" width="14.5" style="263" customWidth="1"/>
    <col min="3332" max="3332" width="12.75" style="263" customWidth="1"/>
    <col min="3333" max="3334" width="13.25" style="263" customWidth="1"/>
    <col min="3335" max="3335" width="12.75" style="263" customWidth="1"/>
    <col min="3336" max="3336" width="11.875" style="263" customWidth="1"/>
    <col min="3337" max="3337" width="11.25" style="263" customWidth="1"/>
    <col min="3338" max="3338" width="14.25" style="263" customWidth="1"/>
    <col min="3339" max="3339" width="13.25" style="263" customWidth="1"/>
    <col min="3340" max="3340" width="12.375" style="263" customWidth="1"/>
    <col min="3341" max="3341" width="13.25" style="263" customWidth="1"/>
    <col min="3342" max="3342" width="14.5" style="263" customWidth="1"/>
    <col min="3343" max="3343" width="12.75" style="263" customWidth="1"/>
    <col min="3344" max="3584" width="9" style="263"/>
    <col min="3585" max="3585" width="7" style="263" customWidth="1"/>
    <col min="3586" max="3586" width="33.875" style="263" customWidth="1"/>
    <col min="3587" max="3587" width="14.5" style="263" customWidth="1"/>
    <col min="3588" max="3588" width="12.75" style="263" customWidth="1"/>
    <col min="3589" max="3590" width="13.25" style="263" customWidth="1"/>
    <col min="3591" max="3591" width="12.75" style="263" customWidth="1"/>
    <col min="3592" max="3592" width="11.875" style="263" customWidth="1"/>
    <col min="3593" max="3593" width="11.25" style="263" customWidth="1"/>
    <col min="3594" max="3594" width="14.25" style="263" customWidth="1"/>
    <col min="3595" max="3595" width="13.25" style="263" customWidth="1"/>
    <col min="3596" max="3596" width="12.375" style="263" customWidth="1"/>
    <col min="3597" max="3597" width="13.25" style="263" customWidth="1"/>
    <col min="3598" max="3598" width="14.5" style="263" customWidth="1"/>
    <col min="3599" max="3599" width="12.75" style="263" customWidth="1"/>
    <col min="3600" max="3840" width="9" style="263"/>
    <col min="3841" max="3841" width="7" style="263" customWidth="1"/>
    <col min="3842" max="3842" width="33.875" style="263" customWidth="1"/>
    <col min="3843" max="3843" width="14.5" style="263" customWidth="1"/>
    <col min="3844" max="3844" width="12.75" style="263" customWidth="1"/>
    <col min="3845" max="3846" width="13.25" style="263" customWidth="1"/>
    <col min="3847" max="3847" width="12.75" style="263" customWidth="1"/>
    <col min="3848" max="3848" width="11.875" style="263" customWidth="1"/>
    <col min="3849" max="3849" width="11.25" style="263" customWidth="1"/>
    <col min="3850" max="3850" width="14.25" style="263" customWidth="1"/>
    <col min="3851" max="3851" width="13.25" style="263" customWidth="1"/>
    <col min="3852" max="3852" width="12.375" style="263" customWidth="1"/>
    <col min="3853" max="3853" width="13.25" style="263" customWidth="1"/>
    <col min="3854" max="3854" width="14.5" style="263" customWidth="1"/>
    <col min="3855" max="3855" width="12.75" style="263" customWidth="1"/>
    <col min="3856" max="4096" width="9" style="263"/>
    <col min="4097" max="4097" width="7" style="263" customWidth="1"/>
    <col min="4098" max="4098" width="33.875" style="263" customWidth="1"/>
    <col min="4099" max="4099" width="14.5" style="263" customWidth="1"/>
    <col min="4100" max="4100" width="12.75" style="263" customWidth="1"/>
    <col min="4101" max="4102" width="13.25" style="263" customWidth="1"/>
    <col min="4103" max="4103" width="12.75" style="263" customWidth="1"/>
    <col min="4104" max="4104" width="11.875" style="263" customWidth="1"/>
    <col min="4105" max="4105" width="11.25" style="263" customWidth="1"/>
    <col min="4106" max="4106" width="14.25" style="263" customWidth="1"/>
    <col min="4107" max="4107" width="13.25" style="263" customWidth="1"/>
    <col min="4108" max="4108" width="12.375" style="263" customWidth="1"/>
    <col min="4109" max="4109" width="13.25" style="263" customWidth="1"/>
    <col min="4110" max="4110" width="14.5" style="263" customWidth="1"/>
    <col min="4111" max="4111" width="12.75" style="263" customWidth="1"/>
    <col min="4112" max="4352" width="9" style="263"/>
    <col min="4353" max="4353" width="7" style="263" customWidth="1"/>
    <col min="4354" max="4354" width="33.875" style="263" customWidth="1"/>
    <col min="4355" max="4355" width="14.5" style="263" customWidth="1"/>
    <col min="4356" max="4356" width="12.75" style="263" customWidth="1"/>
    <col min="4357" max="4358" width="13.25" style="263" customWidth="1"/>
    <col min="4359" max="4359" width="12.75" style="263" customWidth="1"/>
    <col min="4360" max="4360" width="11.875" style="263" customWidth="1"/>
    <col min="4361" max="4361" width="11.25" style="263" customWidth="1"/>
    <col min="4362" max="4362" width="14.25" style="263" customWidth="1"/>
    <col min="4363" max="4363" width="13.25" style="263" customWidth="1"/>
    <col min="4364" max="4364" width="12.375" style="263" customWidth="1"/>
    <col min="4365" max="4365" width="13.25" style="263" customWidth="1"/>
    <col min="4366" max="4366" width="14.5" style="263" customWidth="1"/>
    <col min="4367" max="4367" width="12.75" style="263" customWidth="1"/>
    <col min="4368" max="4608" width="9" style="263"/>
    <col min="4609" max="4609" width="7" style="263" customWidth="1"/>
    <col min="4610" max="4610" width="33.875" style="263" customWidth="1"/>
    <col min="4611" max="4611" width="14.5" style="263" customWidth="1"/>
    <col min="4612" max="4612" width="12.75" style="263" customWidth="1"/>
    <col min="4613" max="4614" width="13.25" style="263" customWidth="1"/>
    <col min="4615" max="4615" width="12.75" style="263" customWidth="1"/>
    <col min="4616" max="4616" width="11.875" style="263" customWidth="1"/>
    <col min="4617" max="4617" width="11.25" style="263" customWidth="1"/>
    <col min="4618" max="4618" width="14.25" style="263" customWidth="1"/>
    <col min="4619" max="4619" width="13.25" style="263" customWidth="1"/>
    <col min="4620" max="4620" width="12.375" style="263" customWidth="1"/>
    <col min="4621" max="4621" width="13.25" style="263" customWidth="1"/>
    <col min="4622" max="4622" width="14.5" style="263" customWidth="1"/>
    <col min="4623" max="4623" width="12.75" style="263" customWidth="1"/>
    <col min="4624" max="4864" width="9" style="263"/>
    <col min="4865" max="4865" width="7" style="263" customWidth="1"/>
    <col min="4866" max="4866" width="33.875" style="263" customWidth="1"/>
    <col min="4867" max="4867" width="14.5" style="263" customWidth="1"/>
    <col min="4868" max="4868" width="12.75" style="263" customWidth="1"/>
    <col min="4869" max="4870" width="13.25" style="263" customWidth="1"/>
    <col min="4871" max="4871" width="12.75" style="263" customWidth="1"/>
    <col min="4872" max="4872" width="11.875" style="263" customWidth="1"/>
    <col min="4873" max="4873" width="11.25" style="263" customWidth="1"/>
    <col min="4874" max="4874" width="14.25" style="263" customWidth="1"/>
    <col min="4875" max="4875" width="13.25" style="263" customWidth="1"/>
    <col min="4876" max="4876" width="12.375" style="263" customWidth="1"/>
    <col min="4877" max="4877" width="13.25" style="263" customWidth="1"/>
    <col min="4878" max="4878" width="14.5" style="263" customWidth="1"/>
    <col min="4879" max="4879" width="12.75" style="263" customWidth="1"/>
    <col min="4880" max="5120" width="9" style="263"/>
    <col min="5121" max="5121" width="7" style="263" customWidth="1"/>
    <col min="5122" max="5122" width="33.875" style="263" customWidth="1"/>
    <col min="5123" max="5123" width="14.5" style="263" customWidth="1"/>
    <col min="5124" max="5124" width="12.75" style="263" customWidth="1"/>
    <col min="5125" max="5126" width="13.25" style="263" customWidth="1"/>
    <col min="5127" max="5127" width="12.75" style="263" customWidth="1"/>
    <col min="5128" max="5128" width="11.875" style="263" customWidth="1"/>
    <col min="5129" max="5129" width="11.25" style="263" customWidth="1"/>
    <col min="5130" max="5130" width="14.25" style="263" customWidth="1"/>
    <col min="5131" max="5131" width="13.25" style="263" customWidth="1"/>
    <col min="5132" max="5132" width="12.375" style="263" customWidth="1"/>
    <col min="5133" max="5133" width="13.25" style="263" customWidth="1"/>
    <col min="5134" max="5134" width="14.5" style="263" customWidth="1"/>
    <col min="5135" max="5135" width="12.75" style="263" customWidth="1"/>
    <col min="5136" max="5376" width="9" style="263"/>
    <col min="5377" max="5377" width="7" style="263" customWidth="1"/>
    <col min="5378" max="5378" width="33.875" style="263" customWidth="1"/>
    <col min="5379" max="5379" width="14.5" style="263" customWidth="1"/>
    <col min="5380" max="5380" width="12.75" style="263" customWidth="1"/>
    <col min="5381" max="5382" width="13.25" style="263" customWidth="1"/>
    <col min="5383" max="5383" width="12.75" style="263" customWidth="1"/>
    <col min="5384" max="5384" width="11.875" style="263" customWidth="1"/>
    <col min="5385" max="5385" width="11.25" style="263" customWidth="1"/>
    <col min="5386" max="5386" width="14.25" style="263" customWidth="1"/>
    <col min="5387" max="5387" width="13.25" style="263" customWidth="1"/>
    <col min="5388" max="5388" width="12.375" style="263" customWidth="1"/>
    <col min="5389" max="5389" width="13.25" style="263" customWidth="1"/>
    <col min="5390" max="5390" width="14.5" style="263" customWidth="1"/>
    <col min="5391" max="5391" width="12.75" style="263" customWidth="1"/>
    <col min="5392" max="5632" width="9" style="263"/>
    <col min="5633" max="5633" width="7" style="263" customWidth="1"/>
    <col min="5634" max="5634" width="33.875" style="263" customWidth="1"/>
    <col min="5635" max="5635" width="14.5" style="263" customWidth="1"/>
    <col min="5636" max="5636" width="12.75" style="263" customWidth="1"/>
    <col min="5637" max="5638" width="13.25" style="263" customWidth="1"/>
    <col min="5639" max="5639" width="12.75" style="263" customWidth="1"/>
    <col min="5640" max="5640" width="11.875" style="263" customWidth="1"/>
    <col min="5641" max="5641" width="11.25" style="263" customWidth="1"/>
    <col min="5642" max="5642" width="14.25" style="263" customWidth="1"/>
    <col min="5643" max="5643" width="13.25" style="263" customWidth="1"/>
    <col min="5644" max="5644" width="12.375" style="263" customWidth="1"/>
    <col min="5645" max="5645" width="13.25" style="263" customWidth="1"/>
    <col min="5646" max="5646" width="14.5" style="263" customWidth="1"/>
    <col min="5647" max="5647" width="12.75" style="263" customWidth="1"/>
    <col min="5648" max="5888" width="9" style="263"/>
    <col min="5889" max="5889" width="7" style="263" customWidth="1"/>
    <col min="5890" max="5890" width="33.875" style="263" customWidth="1"/>
    <col min="5891" max="5891" width="14.5" style="263" customWidth="1"/>
    <col min="5892" max="5892" width="12.75" style="263" customWidth="1"/>
    <col min="5893" max="5894" width="13.25" style="263" customWidth="1"/>
    <col min="5895" max="5895" width="12.75" style="263" customWidth="1"/>
    <col min="5896" max="5896" width="11.875" style="263" customWidth="1"/>
    <col min="5897" max="5897" width="11.25" style="263" customWidth="1"/>
    <col min="5898" max="5898" width="14.25" style="263" customWidth="1"/>
    <col min="5899" max="5899" width="13.25" style="263" customWidth="1"/>
    <col min="5900" max="5900" width="12.375" style="263" customWidth="1"/>
    <col min="5901" max="5901" width="13.25" style="263" customWidth="1"/>
    <col min="5902" max="5902" width="14.5" style="263" customWidth="1"/>
    <col min="5903" max="5903" width="12.75" style="263" customWidth="1"/>
    <col min="5904" max="6144" width="9" style="263"/>
    <col min="6145" max="6145" width="7" style="263" customWidth="1"/>
    <col min="6146" max="6146" width="33.875" style="263" customWidth="1"/>
    <col min="6147" max="6147" width="14.5" style="263" customWidth="1"/>
    <col min="6148" max="6148" width="12.75" style="263" customWidth="1"/>
    <col min="6149" max="6150" width="13.25" style="263" customWidth="1"/>
    <col min="6151" max="6151" width="12.75" style="263" customWidth="1"/>
    <col min="6152" max="6152" width="11.875" style="263" customWidth="1"/>
    <col min="6153" max="6153" width="11.25" style="263" customWidth="1"/>
    <col min="6154" max="6154" width="14.25" style="263" customWidth="1"/>
    <col min="6155" max="6155" width="13.25" style="263" customWidth="1"/>
    <col min="6156" max="6156" width="12.375" style="263" customWidth="1"/>
    <col min="6157" max="6157" width="13.25" style="263" customWidth="1"/>
    <col min="6158" max="6158" width="14.5" style="263" customWidth="1"/>
    <col min="6159" max="6159" width="12.75" style="263" customWidth="1"/>
    <col min="6160" max="6400" width="9" style="263"/>
    <col min="6401" max="6401" width="7" style="263" customWidth="1"/>
    <col min="6402" max="6402" width="33.875" style="263" customWidth="1"/>
    <col min="6403" max="6403" width="14.5" style="263" customWidth="1"/>
    <col min="6404" max="6404" width="12.75" style="263" customWidth="1"/>
    <col min="6405" max="6406" width="13.25" style="263" customWidth="1"/>
    <col min="6407" max="6407" width="12.75" style="263" customWidth="1"/>
    <col min="6408" max="6408" width="11.875" style="263" customWidth="1"/>
    <col min="6409" max="6409" width="11.25" style="263" customWidth="1"/>
    <col min="6410" max="6410" width="14.25" style="263" customWidth="1"/>
    <col min="6411" max="6411" width="13.25" style="263" customWidth="1"/>
    <col min="6412" max="6412" width="12.375" style="263" customWidth="1"/>
    <col min="6413" max="6413" width="13.25" style="263" customWidth="1"/>
    <col min="6414" max="6414" width="14.5" style="263" customWidth="1"/>
    <col min="6415" max="6415" width="12.75" style="263" customWidth="1"/>
    <col min="6416" max="6656" width="9" style="263"/>
    <col min="6657" max="6657" width="7" style="263" customWidth="1"/>
    <col min="6658" max="6658" width="33.875" style="263" customWidth="1"/>
    <col min="6659" max="6659" width="14.5" style="263" customWidth="1"/>
    <col min="6660" max="6660" width="12.75" style="263" customWidth="1"/>
    <col min="6661" max="6662" width="13.25" style="263" customWidth="1"/>
    <col min="6663" max="6663" width="12.75" style="263" customWidth="1"/>
    <col min="6664" max="6664" width="11.875" style="263" customWidth="1"/>
    <col min="6665" max="6665" width="11.25" style="263" customWidth="1"/>
    <col min="6666" max="6666" width="14.25" style="263" customWidth="1"/>
    <col min="6667" max="6667" width="13.25" style="263" customWidth="1"/>
    <col min="6668" max="6668" width="12.375" style="263" customWidth="1"/>
    <col min="6669" max="6669" width="13.25" style="263" customWidth="1"/>
    <col min="6670" max="6670" width="14.5" style="263" customWidth="1"/>
    <col min="6671" max="6671" width="12.75" style="263" customWidth="1"/>
    <col min="6672" max="6912" width="9" style="263"/>
    <col min="6913" max="6913" width="7" style="263" customWidth="1"/>
    <col min="6914" max="6914" width="33.875" style="263" customWidth="1"/>
    <col min="6915" max="6915" width="14.5" style="263" customWidth="1"/>
    <col min="6916" max="6916" width="12.75" style="263" customWidth="1"/>
    <col min="6917" max="6918" width="13.25" style="263" customWidth="1"/>
    <col min="6919" max="6919" width="12.75" style="263" customWidth="1"/>
    <col min="6920" max="6920" width="11.875" style="263" customWidth="1"/>
    <col min="6921" max="6921" width="11.25" style="263" customWidth="1"/>
    <col min="6922" max="6922" width="14.25" style="263" customWidth="1"/>
    <col min="6923" max="6923" width="13.25" style="263" customWidth="1"/>
    <col min="6924" max="6924" width="12.375" style="263" customWidth="1"/>
    <col min="6925" max="6925" width="13.25" style="263" customWidth="1"/>
    <col min="6926" max="6926" width="14.5" style="263" customWidth="1"/>
    <col min="6927" max="6927" width="12.75" style="263" customWidth="1"/>
    <col min="6928" max="7168" width="9" style="263"/>
    <col min="7169" max="7169" width="7" style="263" customWidth="1"/>
    <col min="7170" max="7170" width="33.875" style="263" customWidth="1"/>
    <col min="7171" max="7171" width="14.5" style="263" customWidth="1"/>
    <col min="7172" max="7172" width="12.75" style="263" customWidth="1"/>
    <col min="7173" max="7174" width="13.25" style="263" customWidth="1"/>
    <col min="7175" max="7175" width="12.75" style="263" customWidth="1"/>
    <col min="7176" max="7176" width="11.875" style="263" customWidth="1"/>
    <col min="7177" max="7177" width="11.25" style="263" customWidth="1"/>
    <col min="7178" max="7178" width="14.25" style="263" customWidth="1"/>
    <col min="7179" max="7179" width="13.25" style="263" customWidth="1"/>
    <col min="7180" max="7180" width="12.375" style="263" customWidth="1"/>
    <col min="7181" max="7181" width="13.25" style="263" customWidth="1"/>
    <col min="7182" max="7182" width="14.5" style="263" customWidth="1"/>
    <col min="7183" max="7183" width="12.75" style="263" customWidth="1"/>
    <col min="7184" max="7424" width="9" style="263"/>
    <col min="7425" max="7425" width="7" style="263" customWidth="1"/>
    <col min="7426" max="7426" width="33.875" style="263" customWidth="1"/>
    <col min="7427" max="7427" width="14.5" style="263" customWidth="1"/>
    <col min="7428" max="7428" width="12.75" style="263" customWidth="1"/>
    <col min="7429" max="7430" width="13.25" style="263" customWidth="1"/>
    <col min="7431" max="7431" width="12.75" style="263" customWidth="1"/>
    <col min="7432" max="7432" width="11.875" style="263" customWidth="1"/>
    <col min="7433" max="7433" width="11.25" style="263" customWidth="1"/>
    <col min="7434" max="7434" width="14.25" style="263" customWidth="1"/>
    <col min="7435" max="7435" width="13.25" style="263" customWidth="1"/>
    <col min="7436" max="7436" width="12.375" style="263" customWidth="1"/>
    <col min="7437" max="7437" width="13.25" style="263" customWidth="1"/>
    <col min="7438" max="7438" width="14.5" style="263" customWidth="1"/>
    <col min="7439" max="7439" width="12.75" style="263" customWidth="1"/>
    <col min="7440" max="7680" width="9" style="263"/>
    <col min="7681" max="7681" width="7" style="263" customWidth="1"/>
    <col min="7682" max="7682" width="33.875" style="263" customWidth="1"/>
    <col min="7683" max="7683" width="14.5" style="263" customWidth="1"/>
    <col min="7684" max="7684" width="12.75" style="263" customWidth="1"/>
    <col min="7685" max="7686" width="13.25" style="263" customWidth="1"/>
    <col min="7687" max="7687" width="12.75" style="263" customWidth="1"/>
    <col min="7688" max="7688" width="11.875" style="263" customWidth="1"/>
    <col min="7689" max="7689" width="11.25" style="263" customWidth="1"/>
    <col min="7690" max="7690" width="14.25" style="263" customWidth="1"/>
    <col min="7691" max="7691" width="13.25" style="263" customWidth="1"/>
    <col min="7692" max="7692" width="12.375" style="263" customWidth="1"/>
    <col min="7693" max="7693" width="13.25" style="263" customWidth="1"/>
    <col min="7694" max="7694" width="14.5" style="263" customWidth="1"/>
    <col min="7695" max="7695" width="12.75" style="263" customWidth="1"/>
    <col min="7696" max="7936" width="9" style="263"/>
    <col min="7937" max="7937" width="7" style="263" customWidth="1"/>
    <col min="7938" max="7938" width="33.875" style="263" customWidth="1"/>
    <col min="7939" max="7939" width="14.5" style="263" customWidth="1"/>
    <col min="7940" max="7940" width="12.75" style="263" customWidth="1"/>
    <col min="7941" max="7942" width="13.25" style="263" customWidth="1"/>
    <col min="7943" max="7943" width="12.75" style="263" customWidth="1"/>
    <col min="7944" max="7944" width="11.875" style="263" customWidth="1"/>
    <col min="7945" max="7945" width="11.25" style="263" customWidth="1"/>
    <col min="7946" max="7946" width="14.25" style="263" customWidth="1"/>
    <col min="7947" max="7947" width="13.25" style="263" customWidth="1"/>
    <col min="7948" max="7948" width="12.375" style="263" customWidth="1"/>
    <col min="7949" max="7949" width="13.25" style="263" customWidth="1"/>
    <col min="7950" max="7950" width="14.5" style="263" customWidth="1"/>
    <col min="7951" max="7951" width="12.75" style="263" customWidth="1"/>
    <col min="7952" max="8192" width="9" style="263"/>
    <col min="8193" max="8193" width="7" style="263" customWidth="1"/>
    <col min="8194" max="8194" width="33.875" style="263" customWidth="1"/>
    <col min="8195" max="8195" width="14.5" style="263" customWidth="1"/>
    <col min="8196" max="8196" width="12.75" style="263" customWidth="1"/>
    <col min="8197" max="8198" width="13.25" style="263" customWidth="1"/>
    <col min="8199" max="8199" width="12.75" style="263" customWidth="1"/>
    <col min="8200" max="8200" width="11.875" style="263" customWidth="1"/>
    <col min="8201" max="8201" width="11.25" style="263" customWidth="1"/>
    <col min="8202" max="8202" width="14.25" style="263" customWidth="1"/>
    <col min="8203" max="8203" width="13.25" style="263" customWidth="1"/>
    <col min="8204" max="8204" width="12.375" style="263" customWidth="1"/>
    <col min="8205" max="8205" width="13.25" style="263" customWidth="1"/>
    <col min="8206" max="8206" width="14.5" style="263" customWidth="1"/>
    <col min="8207" max="8207" width="12.75" style="263" customWidth="1"/>
    <col min="8208" max="8448" width="9" style="263"/>
    <col min="8449" max="8449" width="7" style="263" customWidth="1"/>
    <col min="8450" max="8450" width="33.875" style="263" customWidth="1"/>
    <col min="8451" max="8451" width="14.5" style="263" customWidth="1"/>
    <col min="8452" max="8452" width="12.75" style="263" customWidth="1"/>
    <col min="8453" max="8454" width="13.25" style="263" customWidth="1"/>
    <col min="8455" max="8455" width="12.75" style="263" customWidth="1"/>
    <col min="8456" max="8456" width="11.875" style="263" customWidth="1"/>
    <col min="8457" max="8457" width="11.25" style="263" customWidth="1"/>
    <col min="8458" max="8458" width="14.25" style="263" customWidth="1"/>
    <col min="8459" max="8459" width="13.25" style="263" customWidth="1"/>
    <col min="8460" max="8460" width="12.375" style="263" customWidth="1"/>
    <col min="8461" max="8461" width="13.25" style="263" customWidth="1"/>
    <col min="8462" max="8462" width="14.5" style="263" customWidth="1"/>
    <col min="8463" max="8463" width="12.75" style="263" customWidth="1"/>
    <col min="8464" max="8704" width="9" style="263"/>
    <col min="8705" max="8705" width="7" style="263" customWidth="1"/>
    <col min="8706" max="8706" width="33.875" style="263" customWidth="1"/>
    <col min="8707" max="8707" width="14.5" style="263" customWidth="1"/>
    <col min="8708" max="8708" width="12.75" style="263" customWidth="1"/>
    <col min="8709" max="8710" width="13.25" style="263" customWidth="1"/>
    <col min="8711" max="8711" width="12.75" style="263" customWidth="1"/>
    <col min="8712" max="8712" width="11.875" style="263" customWidth="1"/>
    <col min="8713" max="8713" width="11.25" style="263" customWidth="1"/>
    <col min="8714" max="8714" width="14.25" style="263" customWidth="1"/>
    <col min="8715" max="8715" width="13.25" style="263" customWidth="1"/>
    <col min="8716" max="8716" width="12.375" style="263" customWidth="1"/>
    <col min="8717" max="8717" width="13.25" style="263" customWidth="1"/>
    <col min="8718" max="8718" width="14.5" style="263" customWidth="1"/>
    <col min="8719" max="8719" width="12.75" style="263" customWidth="1"/>
    <col min="8720" max="8960" width="9" style="263"/>
    <col min="8961" max="8961" width="7" style="263" customWidth="1"/>
    <col min="8962" max="8962" width="33.875" style="263" customWidth="1"/>
    <col min="8963" max="8963" width="14.5" style="263" customWidth="1"/>
    <col min="8964" max="8964" width="12.75" style="263" customWidth="1"/>
    <col min="8965" max="8966" width="13.25" style="263" customWidth="1"/>
    <col min="8967" max="8967" width="12.75" style="263" customWidth="1"/>
    <col min="8968" max="8968" width="11.875" style="263" customWidth="1"/>
    <col min="8969" max="8969" width="11.25" style="263" customWidth="1"/>
    <col min="8970" max="8970" width="14.25" style="263" customWidth="1"/>
    <col min="8971" max="8971" width="13.25" style="263" customWidth="1"/>
    <col min="8972" max="8972" width="12.375" style="263" customWidth="1"/>
    <col min="8973" max="8973" width="13.25" style="263" customWidth="1"/>
    <col min="8974" max="8974" width="14.5" style="263" customWidth="1"/>
    <col min="8975" max="8975" width="12.75" style="263" customWidth="1"/>
    <col min="8976" max="9216" width="9" style="263"/>
    <col min="9217" max="9217" width="7" style="263" customWidth="1"/>
    <col min="9218" max="9218" width="33.875" style="263" customWidth="1"/>
    <col min="9219" max="9219" width="14.5" style="263" customWidth="1"/>
    <col min="9220" max="9220" width="12.75" style="263" customWidth="1"/>
    <col min="9221" max="9222" width="13.25" style="263" customWidth="1"/>
    <col min="9223" max="9223" width="12.75" style="263" customWidth="1"/>
    <col min="9224" max="9224" width="11.875" style="263" customWidth="1"/>
    <col min="9225" max="9225" width="11.25" style="263" customWidth="1"/>
    <col min="9226" max="9226" width="14.25" style="263" customWidth="1"/>
    <col min="9227" max="9227" width="13.25" style="263" customWidth="1"/>
    <col min="9228" max="9228" width="12.375" style="263" customWidth="1"/>
    <col min="9229" max="9229" width="13.25" style="263" customWidth="1"/>
    <col min="9230" max="9230" width="14.5" style="263" customWidth="1"/>
    <col min="9231" max="9231" width="12.75" style="263" customWidth="1"/>
    <col min="9232" max="9472" width="9" style="263"/>
    <col min="9473" max="9473" width="7" style="263" customWidth="1"/>
    <col min="9474" max="9474" width="33.875" style="263" customWidth="1"/>
    <col min="9475" max="9475" width="14.5" style="263" customWidth="1"/>
    <col min="9476" max="9476" width="12.75" style="263" customWidth="1"/>
    <col min="9477" max="9478" width="13.25" style="263" customWidth="1"/>
    <col min="9479" max="9479" width="12.75" style="263" customWidth="1"/>
    <col min="9480" max="9480" width="11.875" style="263" customWidth="1"/>
    <col min="9481" max="9481" width="11.25" style="263" customWidth="1"/>
    <col min="9482" max="9482" width="14.25" style="263" customWidth="1"/>
    <col min="9483" max="9483" width="13.25" style="263" customWidth="1"/>
    <col min="9484" max="9484" width="12.375" style="263" customWidth="1"/>
    <col min="9485" max="9485" width="13.25" style="263" customWidth="1"/>
    <col min="9486" max="9486" width="14.5" style="263" customWidth="1"/>
    <col min="9487" max="9487" width="12.75" style="263" customWidth="1"/>
    <col min="9488" max="9728" width="9" style="263"/>
    <col min="9729" max="9729" width="7" style="263" customWidth="1"/>
    <col min="9730" max="9730" width="33.875" style="263" customWidth="1"/>
    <col min="9731" max="9731" width="14.5" style="263" customWidth="1"/>
    <col min="9732" max="9732" width="12.75" style="263" customWidth="1"/>
    <col min="9733" max="9734" width="13.25" style="263" customWidth="1"/>
    <col min="9735" max="9735" width="12.75" style="263" customWidth="1"/>
    <col min="9736" max="9736" width="11.875" style="263" customWidth="1"/>
    <col min="9737" max="9737" width="11.25" style="263" customWidth="1"/>
    <col min="9738" max="9738" width="14.25" style="263" customWidth="1"/>
    <col min="9739" max="9739" width="13.25" style="263" customWidth="1"/>
    <col min="9740" max="9740" width="12.375" style="263" customWidth="1"/>
    <col min="9741" max="9741" width="13.25" style="263" customWidth="1"/>
    <col min="9742" max="9742" width="14.5" style="263" customWidth="1"/>
    <col min="9743" max="9743" width="12.75" style="263" customWidth="1"/>
    <col min="9744" max="9984" width="9" style="263"/>
    <col min="9985" max="9985" width="7" style="263" customWidth="1"/>
    <col min="9986" max="9986" width="33.875" style="263" customWidth="1"/>
    <col min="9987" max="9987" width="14.5" style="263" customWidth="1"/>
    <col min="9988" max="9988" width="12.75" style="263" customWidth="1"/>
    <col min="9989" max="9990" width="13.25" style="263" customWidth="1"/>
    <col min="9991" max="9991" width="12.75" style="263" customWidth="1"/>
    <col min="9992" max="9992" width="11.875" style="263" customWidth="1"/>
    <col min="9993" max="9993" width="11.25" style="263" customWidth="1"/>
    <col min="9994" max="9994" width="14.25" style="263" customWidth="1"/>
    <col min="9995" max="9995" width="13.25" style="263" customWidth="1"/>
    <col min="9996" max="9996" width="12.375" style="263" customWidth="1"/>
    <col min="9997" max="9997" width="13.25" style="263" customWidth="1"/>
    <col min="9998" max="9998" width="14.5" style="263" customWidth="1"/>
    <col min="9999" max="9999" width="12.75" style="263" customWidth="1"/>
    <col min="10000" max="10240" width="9" style="263"/>
    <col min="10241" max="10241" width="7" style="263" customWidth="1"/>
    <col min="10242" max="10242" width="33.875" style="263" customWidth="1"/>
    <col min="10243" max="10243" width="14.5" style="263" customWidth="1"/>
    <col min="10244" max="10244" width="12.75" style="263" customWidth="1"/>
    <col min="10245" max="10246" width="13.25" style="263" customWidth="1"/>
    <col min="10247" max="10247" width="12.75" style="263" customWidth="1"/>
    <col min="10248" max="10248" width="11.875" style="263" customWidth="1"/>
    <col min="10249" max="10249" width="11.25" style="263" customWidth="1"/>
    <col min="10250" max="10250" width="14.25" style="263" customWidth="1"/>
    <col min="10251" max="10251" width="13.25" style="263" customWidth="1"/>
    <col min="10252" max="10252" width="12.375" style="263" customWidth="1"/>
    <col min="10253" max="10253" width="13.25" style="263" customWidth="1"/>
    <col min="10254" max="10254" width="14.5" style="263" customWidth="1"/>
    <col min="10255" max="10255" width="12.75" style="263" customWidth="1"/>
    <col min="10256" max="10496" width="9" style="263"/>
    <col min="10497" max="10497" width="7" style="263" customWidth="1"/>
    <col min="10498" max="10498" width="33.875" style="263" customWidth="1"/>
    <col min="10499" max="10499" width="14.5" style="263" customWidth="1"/>
    <col min="10500" max="10500" width="12.75" style="263" customWidth="1"/>
    <col min="10501" max="10502" width="13.25" style="263" customWidth="1"/>
    <col min="10503" max="10503" width="12.75" style="263" customWidth="1"/>
    <col min="10504" max="10504" width="11.875" style="263" customWidth="1"/>
    <col min="10505" max="10505" width="11.25" style="263" customWidth="1"/>
    <col min="10506" max="10506" width="14.25" style="263" customWidth="1"/>
    <col min="10507" max="10507" width="13.25" style="263" customWidth="1"/>
    <col min="10508" max="10508" width="12.375" style="263" customWidth="1"/>
    <col min="10509" max="10509" width="13.25" style="263" customWidth="1"/>
    <col min="10510" max="10510" width="14.5" style="263" customWidth="1"/>
    <col min="10511" max="10511" width="12.75" style="263" customWidth="1"/>
    <col min="10512" max="10752" width="9" style="263"/>
    <col min="10753" max="10753" width="7" style="263" customWidth="1"/>
    <col min="10754" max="10754" width="33.875" style="263" customWidth="1"/>
    <col min="10755" max="10755" width="14.5" style="263" customWidth="1"/>
    <col min="10756" max="10756" width="12.75" style="263" customWidth="1"/>
    <col min="10757" max="10758" width="13.25" style="263" customWidth="1"/>
    <col min="10759" max="10759" width="12.75" style="263" customWidth="1"/>
    <col min="10760" max="10760" width="11.875" style="263" customWidth="1"/>
    <col min="10761" max="10761" width="11.25" style="263" customWidth="1"/>
    <col min="10762" max="10762" width="14.25" style="263" customWidth="1"/>
    <col min="10763" max="10763" width="13.25" style="263" customWidth="1"/>
    <col min="10764" max="10764" width="12.375" style="263" customWidth="1"/>
    <col min="10765" max="10765" width="13.25" style="263" customWidth="1"/>
    <col min="10766" max="10766" width="14.5" style="263" customWidth="1"/>
    <col min="10767" max="10767" width="12.75" style="263" customWidth="1"/>
    <col min="10768" max="11008" width="9" style="263"/>
    <col min="11009" max="11009" width="7" style="263" customWidth="1"/>
    <col min="11010" max="11010" width="33.875" style="263" customWidth="1"/>
    <col min="11011" max="11011" width="14.5" style="263" customWidth="1"/>
    <col min="11012" max="11012" width="12.75" style="263" customWidth="1"/>
    <col min="11013" max="11014" width="13.25" style="263" customWidth="1"/>
    <col min="11015" max="11015" width="12.75" style="263" customWidth="1"/>
    <col min="11016" max="11016" width="11.875" style="263" customWidth="1"/>
    <col min="11017" max="11017" width="11.25" style="263" customWidth="1"/>
    <col min="11018" max="11018" width="14.25" style="263" customWidth="1"/>
    <col min="11019" max="11019" width="13.25" style="263" customWidth="1"/>
    <col min="11020" max="11020" width="12.375" style="263" customWidth="1"/>
    <col min="11021" max="11021" width="13.25" style="263" customWidth="1"/>
    <col min="11022" max="11022" width="14.5" style="263" customWidth="1"/>
    <col min="11023" max="11023" width="12.75" style="263" customWidth="1"/>
    <col min="11024" max="11264" width="9" style="263"/>
    <col min="11265" max="11265" width="7" style="263" customWidth="1"/>
    <col min="11266" max="11266" width="33.875" style="263" customWidth="1"/>
    <col min="11267" max="11267" width="14.5" style="263" customWidth="1"/>
    <col min="11268" max="11268" width="12.75" style="263" customWidth="1"/>
    <col min="11269" max="11270" width="13.25" style="263" customWidth="1"/>
    <col min="11271" max="11271" width="12.75" style="263" customWidth="1"/>
    <col min="11272" max="11272" width="11.875" style="263" customWidth="1"/>
    <col min="11273" max="11273" width="11.25" style="263" customWidth="1"/>
    <col min="11274" max="11274" width="14.25" style="263" customWidth="1"/>
    <col min="11275" max="11275" width="13.25" style="263" customWidth="1"/>
    <col min="11276" max="11276" width="12.375" style="263" customWidth="1"/>
    <col min="11277" max="11277" width="13.25" style="263" customWidth="1"/>
    <col min="11278" max="11278" width="14.5" style="263" customWidth="1"/>
    <col min="11279" max="11279" width="12.75" style="263" customWidth="1"/>
    <col min="11280" max="11520" width="9" style="263"/>
    <col min="11521" max="11521" width="7" style="263" customWidth="1"/>
    <col min="11522" max="11522" width="33.875" style="263" customWidth="1"/>
    <col min="11523" max="11523" width="14.5" style="263" customWidth="1"/>
    <col min="11524" max="11524" width="12.75" style="263" customWidth="1"/>
    <col min="11525" max="11526" width="13.25" style="263" customWidth="1"/>
    <col min="11527" max="11527" width="12.75" style="263" customWidth="1"/>
    <col min="11528" max="11528" width="11.875" style="263" customWidth="1"/>
    <col min="11529" max="11529" width="11.25" style="263" customWidth="1"/>
    <col min="11530" max="11530" width="14.25" style="263" customWidth="1"/>
    <col min="11531" max="11531" width="13.25" style="263" customWidth="1"/>
    <col min="11532" max="11532" width="12.375" style="263" customWidth="1"/>
    <col min="11533" max="11533" width="13.25" style="263" customWidth="1"/>
    <col min="11534" max="11534" width="14.5" style="263" customWidth="1"/>
    <col min="11535" max="11535" width="12.75" style="263" customWidth="1"/>
    <col min="11536" max="11776" width="9" style="263"/>
    <col min="11777" max="11777" width="7" style="263" customWidth="1"/>
    <col min="11778" max="11778" width="33.875" style="263" customWidth="1"/>
    <col min="11779" max="11779" width="14.5" style="263" customWidth="1"/>
    <col min="11780" max="11780" width="12.75" style="263" customWidth="1"/>
    <col min="11781" max="11782" width="13.25" style="263" customWidth="1"/>
    <col min="11783" max="11783" width="12.75" style="263" customWidth="1"/>
    <col min="11784" max="11784" width="11.875" style="263" customWidth="1"/>
    <col min="11785" max="11785" width="11.25" style="263" customWidth="1"/>
    <col min="11786" max="11786" width="14.25" style="263" customWidth="1"/>
    <col min="11787" max="11787" width="13.25" style="263" customWidth="1"/>
    <col min="11788" max="11788" width="12.375" style="263" customWidth="1"/>
    <col min="11789" max="11789" width="13.25" style="263" customWidth="1"/>
    <col min="11790" max="11790" width="14.5" style="263" customWidth="1"/>
    <col min="11791" max="11791" width="12.75" style="263" customWidth="1"/>
    <col min="11792" max="12032" width="9" style="263"/>
    <col min="12033" max="12033" width="7" style="263" customWidth="1"/>
    <col min="12034" max="12034" width="33.875" style="263" customWidth="1"/>
    <col min="12035" max="12035" width="14.5" style="263" customWidth="1"/>
    <col min="12036" max="12036" width="12.75" style="263" customWidth="1"/>
    <col min="12037" max="12038" width="13.25" style="263" customWidth="1"/>
    <col min="12039" max="12039" width="12.75" style="263" customWidth="1"/>
    <col min="12040" max="12040" width="11.875" style="263" customWidth="1"/>
    <col min="12041" max="12041" width="11.25" style="263" customWidth="1"/>
    <col min="12042" max="12042" width="14.25" style="263" customWidth="1"/>
    <col min="12043" max="12043" width="13.25" style="263" customWidth="1"/>
    <col min="12044" max="12044" width="12.375" style="263" customWidth="1"/>
    <col min="12045" max="12045" width="13.25" style="263" customWidth="1"/>
    <col min="12046" max="12046" width="14.5" style="263" customWidth="1"/>
    <col min="12047" max="12047" width="12.75" style="263" customWidth="1"/>
    <col min="12048" max="12288" width="9" style="263"/>
    <col min="12289" max="12289" width="7" style="263" customWidth="1"/>
    <col min="12290" max="12290" width="33.875" style="263" customWidth="1"/>
    <col min="12291" max="12291" width="14.5" style="263" customWidth="1"/>
    <col min="12292" max="12292" width="12.75" style="263" customWidth="1"/>
    <col min="12293" max="12294" width="13.25" style="263" customWidth="1"/>
    <col min="12295" max="12295" width="12.75" style="263" customWidth="1"/>
    <col min="12296" max="12296" width="11.875" style="263" customWidth="1"/>
    <col min="12297" max="12297" width="11.25" style="263" customWidth="1"/>
    <col min="12298" max="12298" width="14.25" style="263" customWidth="1"/>
    <col min="12299" max="12299" width="13.25" style="263" customWidth="1"/>
    <col min="12300" max="12300" width="12.375" style="263" customWidth="1"/>
    <col min="12301" max="12301" width="13.25" style="263" customWidth="1"/>
    <col min="12302" max="12302" width="14.5" style="263" customWidth="1"/>
    <col min="12303" max="12303" width="12.75" style="263" customWidth="1"/>
    <col min="12304" max="12544" width="9" style="263"/>
    <col min="12545" max="12545" width="7" style="263" customWidth="1"/>
    <col min="12546" max="12546" width="33.875" style="263" customWidth="1"/>
    <col min="12547" max="12547" width="14.5" style="263" customWidth="1"/>
    <col min="12548" max="12548" width="12.75" style="263" customWidth="1"/>
    <col min="12549" max="12550" width="13.25" style="263" customWidth="1"/>
    <col min="12551" max="12551" width="12.75" style="263" customWidth="1"/>
    <col min="12552" max="12552" width="11.875" style="263" customWidth="1"/>
    <col min="12553" max="12553" width="11.25" style="263" customWidth="1"/>
    <col min="12554" max="12554" width="14.25" style="263" customWidth="1"/>
    <col min="12555" max="12555" width="13.25" style="263" customWidth="1"/>
    <col min="12556" max="12556" width="12.375" style="263" customWidth="1"/>
    <col min="12557" max="12557" width="13.25" style="263" customWidth="1"/>
    <col min="12558" max="12558" width="14.5" style="263" customWidth="1"/>
    <col min="12559" max="12559" width="12.75" style="263" customWidth="1"/>
    <col min="12560" max="12800" width="9" style="263"/>
    <col min="12801" max="12801" width="7" style="263" customWidth="1"/>
    <col min="12802" max="12802" width="33.875" style="263" customWidth="1"/>
    <col min="12803" max="12803" width="14.5" style="263" customWidth="1"/>
    <col min="12804" max="12804" width="12.75" style="263" customWidth="1"/>
    <col min="12805" max="12806" width="13.25" style="263" customWidth="1"/>
    <col min="12807" max="12807" width="12.75" style="263" customWidth="1"/>
    <col min="12808" max="12808" width="11.875" style="263" customWidth="1"/>
    <col min="12809" max="12809" width="11.25" style="263" customWidth="1"/>
    <col min="12810" max="12810" width="14.25" style="263" customWidth="1"/>
    <col min="12811" max="12811" width="13.25" style="263" customWidth="1"/>
    <col min="12812" max="12812" width="12.375" style="263" customWidth="1"/>
    <col min="12813" max="12813" width="13.25" style="263" customWidth="1"/>
    <col min="12814" max="12814" width="14.5" style="263" customWidth="1"/>
    <col min="12815" max="12815" width="12.75" style="263" customWidth="1"/>
    <col min="12816" max="13056" width="9" style="263"/>
    <col min="13057" max="13057" width="7" style="263" customWidth="1"/>
    <col min="13058" max="13058" width="33.875" style="263" customWidth="1"/>
    <col min="13059" max="13059" width="14.5" style="263" customWidth="1"/>
    <col min="13060" max="13060" width="12.75" style="263" customWidth="1"/>
    <col min="13061" max="13062" width="13.25" style="263" customWidth="1"/>
    <col min="13063" max="13063" width="12.75" style="263" customWidth="1"/>
    <col min="13064" max="13064" width="11.875" style="263" customWidth="1"/>
    <col min="13065" max="13065" width="11.25" style="263" customWidth="1"/>
    <col min="13066" max="13066" width="14.25" style="263" customWidth="1"/>
    <col min="13067" max="13067" width="13.25" style="263" customWidth="1"/>
    <col min="13068" max="13068" width="12.375" style="263" customWidth="1"/>
    <col min="13069" max="13069" width="13.25" style="263" customWidth="1"/>
    <col min="13070" max="13070" width="14.5" style="263" customWidth="1"/>
    <col min="13071" max="13071" width="12.75" style="263" customWidth="1"/>
    <col min="13072" max="13312" width="9" style="263"/>
    <col min="13313" max="13313" width="7" style="263" customWidth="1"/>
    <col min="13314" max="13314" width="33.875" style="263" customWidth="1"/>
    <col min="13315" max="13315" width="14.5" style="263" customWidth="1"/>
    <col min="13316" max="13316" width="12.75" style="263" customWidth="1"/>
    <col min="13317" max="13318" width="13.25" style="263" customWidth="1"/>
    <col min="13319" max="13319" width="12.75" style="263" customWidth="1"/>
    <col min="13320" max="13320" width="11.875" style="263" customWidth="1"/>
    <col min="13321" max="13321" width="11.25" style="263" customWidth="1"/>
    <col min="13322" max="13322" width="14.25" style="263" customWidth="1"/>
    <col min="13323" max="13323" width="13.25" style="263" customWidth="1"/>
    <col min="13324" max="13324" width="12.375" style="263" customWidth="1"/>
    <col min="13325" max="13325" width="13.25" style="263" customWidth="1"/>
    <col min="13326" max="13326" width="14.5" style="263" customWidth="1"/>
    <col min="13327" max="13327" width="12.75" style="263" customWidth="1"/>
    <col min="13328" max="13568" width="9" style="263"/>
    <col min="13569" max="13569" width="7" style="263" customWidth="1"/>
    <col min="13570" max="13570" width="33.875" style="263" customWidth="1"/>
    <col min="13571" max="13571" width="14.5" style="263" customWidth="1"/>
    <col min="13572" max="13572" width="12.75" style="263" customWidth="1"/>
    <col min="13573" max="13574" width="13.25" style="263" customWidth="1"/>
    <col min="13575" max="13575" width="12.75" style="263" customWidth="1"/>
    <col min="13576" max="13576" width="11.875" style="263" customWidth="1"/>
    <col min="13577" max="13577" width="11.25" style="263" customWidth="1"/>
    <col min="13578" max="13578" width="14.25" style="263" customWidth="1"/>
    <col min="13579" max="13579" width="13.25" style="263" customWidth="1"/>
    <col min="13580" max="13580" width="12.375" style="263" customWidth="1"/>
    <col min="13581" max="13581" width="13.25" style="263" customWidth="1"/>
    <col min="13582" max="13582" width="14.5" style="263" customWidth="1"/>
    <col min="13583" max="13583" width="12.75" style="263" customWidth="1"/>
    <col min="13584" max="13824" width="9" style="263"/>
    <col min="13825" max="13825" width="7" style="263" customWidth="1"/>
    <col min="13826" max="13826" width="33.875" style="263" customWidth="1"/>
    <col min="13827" max="13827" width="14.5" style="263" customWidth="1"/>
    <col min="13828" max="13828" width="12.75" style="263" customWidth="1"/>
    <col min="13829" max="13830" width="13.25" style="263" customWidth="1"/>
    <col min="13831" max="13831" width="12.75" style="263" customWidth="1"/>
    <col min="13832" max="13832" width="11.875" style="263" customWidth="1"/>
    <col min="13833" max="13833" width="11.25" style="263" customWidth="1"/>
    <col min="13834" max="13834" width="14.25" style="263" customWidth="1"/>
    <col min="13835" max="13835" width="13.25" style="263" customWidth="1"/>
    <col min="13836" max="13836" width="12.375" style="263" customWidth="1"/>
    <col min="13837" max="13837" width="13.25" style="263" customWidth="1"/>
    <col min="13838" max="13838" width="14.5" style="263" customWidth="1"/>
    <col min="13839" max="13839" width="12.75" style="263" customWidth="1"/>
    <col min="13840" max="14080" width="9" style="263"/>
    <col min="14081" max="14081" width="7" style="263" customWidth="1"/>
    <col min="14082" max="14082" width="33.875" style="263" customWidth="1"/>
    <col min="14083" max="14083" width="14.5" style="263" customWidth="1"/>
    <col min="14084" max="14084" width="12.75" style="263" customWidth="1"/>
    <col min="14085" max="14086" width="13.25" style="263" customWidth="1"/>
    <col min="14087" max="14087" width="12.75" style="263" customWidth="1"/>
    <col min="14088" max="14088" width="11.875" style="263" customWidth="1"/>
    <col min="14089" max="14089" width="11.25" style="263" customWidth="1"/>
    <col min="14090" max="14090" width="14.25" style="263" customWidth="1"/>
    <col min="14091" max="14091" width="13.25" style="263" customWidth="1"/>
    <col min="14092" max="14092" width="12.375" style="263" customWidth="1"/>
    <col min="14093" max="14093" width="13.25" style="263" customWidth="1"/>
    <col min="14094" max="14094" width="14.5" style="263" customWidth="1"/>
    <col min="14095" max="14095" width="12.75" style="263" customWidth="1"/>
    <col min="14096" max="14336" width="9" style="263"/>
    <col min="14337" max="14337" width="7" style="263" customWidth="1"/>
    <col min="14338" max="14338" width="33.875" style="263" customWidth="1"/>
    <col min="14339" max="14339" width="14.5" style="263" customWidth="1"/>
    <col min="14340" max="14340" width="12.75" style="263" customWidth="1"/>
    <col min="14341" max="14342" width="13.25" style="263" customWidth="1"/>
    <col min="14343" max="14343" width="12.75" style="263" customWidth="1"/>
    <col min="14344" max="14344" width="11.875" style="263" customWidth="1"/>
    <col min="14345" max="14345" width="11.25" style="263" customWidth="1"/>
    <col min="14346" max="14346" width="14.25" style="263" customWidth="1"/>
    <col min="14347" max="14347" width="13.25" style="263" customWidth="1"/>
    <col min="14348" max="14348" width="12.375" style="263" customWidth="1"/>
    <col min="14349" max="14349" width="13.25" style="263" customWidth="1"/>
    <col min="14350" max="14350" width="14.5" style="263" customWidth="1"/>
    <col min="14351" max="14351" width="12.75" style="263" customWidth="1"/>
    <col min="14352" max="14592" width="9" style="263"/>
    <col min="14593" max="14593" width="7" style="263" customWidth="1"/>
    <col min="14594" max="14594" width="33.875" style="263" customWidth="1"/>
    <col min="14595" max="14595" width="14.5" style="263" customWidth="1"/>
    <col min="14596" max="14596" width="12.75" style="263" customWidth="1"/>
    <col min="14597" max="14598" width="13.25" style="263" customWidth="1"/>
    <col min="14599" max="14599" width="12.75" style="263" customWidth="1"/>
    <col min="14600" max="14600" width="11.875" style="263" customWidth="1"/>
    <col min="14601" max="14601" width="11.25" style="263" customWidth="1"/>
    <col min="14602" max="14602" width="14.25" style="263" customWidth="1"/>
    <col min="14603" max="14603" width="13.25" style="263" customWidth="1"/>
    <col min="14604" max="14604" width="12.375" style="263" customWidth="1"/>
    <col min="14605" max="14605" width="13.25" style="263" customWidth="1"/>
    <col min="14606" max="14606" width="14.5" style="263" customWidth="1"/>
    <col min="14607" max="14607" width="12.75" style="263" customWidth="1"/>
    <col min="14608" max="14848" width="9" style="263"/>
    <col min="14849" max="14849" width="7" style="263" customWidth="1"/>
    <col min="14850" max="14850" width="33.875" style="263" customWidth="1"/>
    <col min="14851" max="14851" width="14.5" style="263" customWidth="1"/>
    <col min="14852" max="14852" width="12.75" style="263" customWidth="1"/>
    <col min="14853" max="14854" width="13.25" style="263" customWidth="1"/>
    <col min="14855" max="14855" width="12.75" style="263" customWidth="1"/>
    <col min="14856" max="14856" width="11.875" style="263" customWidth="1"/>
    <col min="14857" max="14857" width="11.25" style="263" customWidth="1"/>
    <col min="14858" max="14858" width="14.25" style="263" customWidth="1"/>
    <col min="14859" max="14859" width="13.25" style="263" customWidth="1"/>
    <col min="14860" max="14860" width="12.375" style="263" customWidth="1"/>
    <col min="14861" max="14861" width="13.25" style="263" customWidth="1"/>
    <col min="14862" max="14862" width="14.5" style="263" customWidth="1"/>
    <col min="14863" max="14863" width="12.75" style="263" customWidth="1"/>
    <col min="14864" max="15104" width="9" style="263"/>
    <col min="15105" max="15105" width="7" style="263" customWidth="1"/>
    <col min="15106" max="15106" width="33.875" style="263" customWidth="1"/>
    <col min="15107" max="15107" width="14.5" style="263" customWidth="1"/>
    <col min="15108" max="15108" width="12.75" style="263" customWidth="1"/>
    <col min="15109" max="15110" width="13.25" style="263" customWidth="1"/>
    <col min="15111" max="15111" width="12.75" style="263" customWidth="1"/>
    <col min="15112" max="15112" width="11.875" style="263" customWidth="1"/>
    <col min="15113" max="15113" width="11.25" style="263" customWidth="1"/>
    <col min="15114" max="15114" width="14.25" style="263" customWidth="1"/>
    <col min="15115" max="15115" width="13.25" style="263" customWidth="1"/>
    <col min="15116" max="15116" width="12.375" style="263" customWidth="1"/>
    <col min="15117" max="15117" width="13.25" style="263" customWidth="1"/>
    <col min="15118" max="15118" width="14.5" style="263" customWidth="1"/>
    <col min="15119" max="15119" width="12.75" style="263" customWidth="1"/>
    <col min="15120" max="15360" width="9" style="263"/>
    <col min="15361" max="15361" width="7" style="263" customWidth="1"/>
    <col min="15362" max="15362" width="33.875" style="263" customWidth="1"/>
    <col min="15363" max="15363" width="14.5" style="263" customWidth="1"/>
    <col min="15364" max="15364" width="12.75" style="263" customWidth="1"/>
    <col min="15365" max="15366" width="13.25" style="263" customWidth="1"/>
    <col min="15367" max="15367" width="12.75" style="263" customWidth="1"/>
    <col min="15368" max="15368" width="11.875" style="263" customWidth="1"/>
    <col min="15369" max="15369" width="11.25" style="263" customWidth="1"/>
    <col min="15370" max="15370" width="14.25" style="263" customWidth="1"/>
    <col min="15371" max="15371" width="13.25" style="263" customWidth="1"/>
    <col min="15372" max="15372" width="12.375" style="263" customWidth="1"/>
    <col min="15373" max="15373" width="13.25" style="263" customWidth="1"/>
    <col min="15374" max="15374" width="14.5" style="263" customWidth="1"/>
    <col min="15375" max="15375" width="12.75" style="263" customWidth="1"/>
    <col min="15376" max="15616" width="9" style="263"/>
    <col min="15617" max="15617" width="7" style="263" customWidth="1"/>
    <col min="15618" max="15618" width="33.875" style="263" customWidth="1"/>
    <col min="15619" max="15619" width="14.5" style="263" customWidth="1"/>
    <col min="15620" max="15620" width="12.75" style="263" customWidth="1"/>
    <col min="15621" max="15622" width="13.25" style="263" customWidth="1"/>
    <col min="15623" max="15623" width="12.75" style="263" customWidth="1"/>
    <col min="15624" max="15624" width="11.875" style="263" customWidth="1"/>
    <col min="15625" max="15625" width="11.25" style="263" customWidth="1"/>
    <col min="15626" max="15626" width="14.25" style="263" customWidth="1"/>
    <col min="15627" max="15627" width="13.25" style="263" customWidth="1"/>
    <col min="15628" max="15628" width="12.375" style="263" customWidth="1"/>
    <col min="15629" max="15629" width="13.25" style="263" customWidth="1"/>
    <col min="15630" max="15630" width="14.5" style="263" customWidth="1"/>
    <col min="15631" max="15631" width="12.75" style="263" customWidth="1"/>
    <col min="15632" max="15872" width="9" style="263"/>
    <col min="15873" max="15873" width="7" style="263" customWidth="1"/>
    <col min="15874" max="15874" width="33.875" style="263" customWidth="1"/>
    <col min="15875" max="15875" width="14.5" style="263" customWidth="1"/>
    <col min="15876" max="15876" width="12.75" style="263" customWidth="1"/>
    <col min="15877" max="15878" width="13.25" style="263" customWidth="1"/>
    <col min="15879" max="15879" width="12.75" style="263" customWidth="1"/>
    <col min="15880" max="15880" width="11.875" style="263" customWidth="1"/>
    <col min="15881" max="15881" width="11.25" style="263" customWidth="1"/>
    <col min="15882" max="15882" width="14.25" style="263" customWidth="1"/>
    <col min="15883" max="15883" width="13.25" style="263" customWidth="1"/>
    <col min="15884" max="15884" width="12.375" style="263" customWidth="1"/>
    <col min="15885" max="15885" width="13.25" style="263" customWidth="1"/>
    <col min="15886" max="15886" width="14.5" style="263" customWidth="1"/>
    <col min="15887" max="15887" width="12.75" style="263" customWidth="1"/>
    <col min="15888" max="16128" width="9" style="263"/>
    <col min="16129" max="16129" width="7" style="263" customWidth="1"/>
    <col min="16130" max="16130" width="33.875" style="263" customWidth="1"/>
    <col min="16131" max="16131" width="14.5" style="263" customWidth="1"/>
    <col min="16132" max="16132" width="12.75" style="263" customWidth="1"/>
    <col min="16133" max="16134" width="13.25" style="263" customWidth="1"/>
    <col min="16135" max="16135" width="12.75" style="263" customWidth="1"/>
    <col min="16136" max="16136" width="11.875" style="263" customWidth="1"/>
    <col min="16137" max="16137" width="11.25" style="263" customWidth="1"/>
    <col min="16138" max="16138" width="14.25" style="263" customWidth="1"/>
    <col min="16139" max="16139" width="13.25" style="263" customWidth="1"/>
    <col min="16140" max="16140" width="12.375" style="263" customWidth="1"/>
    <col min="16141" max="16141" width="13.25" style="263" customWidth="1"/>
    <col min="16142" max="16142" width="14.5" style="263" customWidth="1"/>
    <col min="16143" max="16143" width="12.75" style="263" customWidth="1"/>
    <col min="16144" max="16384" width="9" style="263"/>
  </cols>
  <sheetData>
    <row r="1" spans="1:20" s="27" customFormat="1">
      <c r="A1" s="24"/>
      <c r="B1" s="25"/>
      <c r="C1" s="26"/>
      <c r="N1" s="27" t="s">
        <v>300</v>
      </c>
    </row>
    <row r="2" spans="1:20" s="27" customFormat="1">
      <c r="A2" s="24"/>
      <c r="B2" s="25"/>
      <c r="C2" s="26"/>
      <c r="N2" s="27" t="s">
        <v>275</v>
      </c>
    </row>
    <row r="3" spans="1:20" s="27" customFormat="1">
      <c r="A3" s="24"/>
      <c r="B3" s="25"/>
      <c r="C3" s="26"/>
      <c r="N3" s="27" t="s">
        <v>276</v>
      </c>
    </row>
    <row r="4" spans="1:20" s="478" customFormat="1" ht="18.75">
      <c r="A4" s="920" t="s">
        <v>301</v>
      </c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</row>
    <row r="5" spans="1:20" s="478" customFormat="1" ht="18.75">
      <c r="A5" s="920" t="s">
        <v>277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</row>
    <row r="6" spans="1:20" s="297" customFormat="1" ht="2.25" customHeight="1">
      <c r="A6" s="479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</row>
    <row r="7" spans="1:20" s="297" customFormat="1">
      <c r="A7" s="479"/>
      <c r="C7" s="480"/>
      <c r="D7" s="480"/>
      <c r="E7" s="480"/>
      <c r="F7" s="480"/>
      <c r="G7" s="480"/>
      <c r="H7" s="480"/>
      <c r="I7" s="480"/>
      <c r="J7" s="480"/>
      <c r="K7" s="480"/>
      <c r="L7" s="480"/>
      <c r="N7" s="480"/>
      <c r="O7" s="481" t="s">
        <v>15</v>
      </c>
    </row>
    <row r="8" spans="1:20" s="266" customFormat="1" ht="16.5" customHeight="1">
      <c r="A8" s="921" t="s">
        <v>302</v>
      </c>
      <c r="B8" s="922" t="s">
        <v>16</v>
      </c>
      <c r="C8" s="923" t="s">
        <v>17</v>
      </c>
      <c r="D8" s="919" t="s">
        <v>303</v>
      </c>
      <c r="E8" s="919"/>
      <c r="F8" s="919"/>
      <c r="G8" s="919"/>
      <c r="H8" s="919"/>
      <c r="I8" s="919"/>
      <c r="J8" s="919"/>
      <c r="K8" s="919"/>
      <c r="L8" s="919"/>
      <c r="M8" s="919"/>
      <c r="N8" s="919"/>
      <c r="O8" s="919"/>
    </row>
    <row r="9" spans="1:20" s="266" customFormat="1" ht="14.25" customHeight="1">
      <c r="A9" s="921"/>
      <c r="B9" s="922"/>
      <c r="C9" s="923"/>
      <c r="D9" s="919" t="s">
        <v>304</v>
      </c>
      <c r="E9" s="918" t="s">
        <v>305</v>
      </c>
      <c r="F9" s="918"/>
      <c r="G9" s="918"/>
      <c r="H9" s="918"/>
      <c r="I9" s="918"/>
      <c r="J9" s="918"/>
      <c r="K9" s="918"/>
      <c r="L9" s="919" t="s">
        <v>306</v>
      </c>
      <c r="M9" s="918" t="s">
        <v>305</v>
      </c>
      <c r="N9" s="918"/>
      <c r="O9" s="918"/>
    </row>
    <row r="10" spans="1:20" s="266" customFormat="1" ht="14.25" customHeight="1">
      <c r="A10" s="921"/>
      <c r="B10" s="922"/>
      <c r="C10" s="923"/>
      <c r="D10" s="919"/>
      <c r="E10" s="919" t="s">
        <v>307</v>
      </c>
      <c r="F10" s="918" t="s">
        <v>305</v>
      </c>
      <c r="G10" s="918"/>
      <c r="H10" s="919" t="s">
        <v>308</v>
      </c>
      <c r="I10" s="919" t="s">
        <v>309</v>
      </c>
      <c r="J10" s="919" t="s">
        <v>310</v>
      </c>
      <c r="K10" s="919" t="s">
        <v>311</v>
      </c>
      <c r="L10" s="919"/>
      <c r="M10" s="919" t="s">
        <v>312</v>
      </c>
      <c r="N10" s="688" t="s">
        <v>305</v>
      </c>
      <c r="O10" s="919" t="s">
        <v>313</v>
      </c>
    </row>
    <row r="11" spans="1:20" s="266" customFormat="1" ht="57" customHeight="1">
      <c r="A11" s="921"/>
      <c r="B11" s="922"/>
      <c r="C11" s="923"/>
      <c r="D11" s="919"/>
      <c r="E11" s="919"/>
      <c r="F11" s="688" t="s">
        <v>314</v>
      </c>
      <c r="G11" s="688" t="s">
        <v>315</v>
      </c>
      <c r="H11" s="919"/>
      <c r="I11" s="919"/>
      <c r="J11" s="919"/>
      <c r="K11" s="919"/>
      <c r="L11" s="919"/>
      <c r="M11" s="919"/>
      <c r="N11" s="688" t="s">
        <v>310</v>
      </c>
      <c r="O11" s="919"/>
    </row>
    <row r="12" spans="1:20" s="267" customFormat="1">
      <c r="A12" s="689">
        <v>1</v>
      </c>
      <c r="B12" s="690">
        <v>2</v>
      </c>
      <c r="C12" s="691">
        <v>3</v>
      </c>
      <c r="D12" s="692">
        <v>4</v>
      </c>
      <c r="E12" s="692">
        <v>5</v>
      </c>
      <c r="F12" s="692">
        <v>6</v>
      </c>
      <c r="G12" s="692">
        <v>7</v>
      </c>
      <c r="H12" s="692">
        <v>8</v>
      </c>
      <c r="I12" s="692">
        <v>9</v>
      </c>
      <c r="J12" s="692">
        <v>10</v>
      </c>
      <c r="K12" s="692">
        <v>11</v>
      </c>
      <c r="L12" s="692">
        <v>12</v>
      </c>
      <c r="M12" s="692">
        <v>13</v>
      </c>
      <c r="N12" s="692">
        <v>14</v>
      </c>
      <c r="O12" s="692">
        <v>15</v>
      </c>
    </row>
    <row r="13" spans="1:20" s="272" customFormat="1" ht="8.1" customHeight="1">
      <c r="A13" s="268"/>
      <c r="B13" s="269"/>
      <c r="C13" s="270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</row>
    <row r="14" spans="1:20" s="277" customFormat="1" ht="14.1" customHeight="1">
      <c r="A14" s="273"/>
      <c r="B14" s="274" t="s">
        <v>316</v>
      </c>
      <c r="C14" s="275">
        <f t="shared" ref="C14:O14" si="0">C16+C22+C25+C27+C38+C40+C42+C47+C51+C58+C60+C62+C65+C67+C80+C88+C94+C100+C109+C112+C121+C132+C134+C49</f>
        <v>1832773587</v>
      </c>
      <c r="D14" s="275">
        <f t="shared" si="0"/>
        <v>1146255698</v>
      </c>
      <c r="E14" s="275">
        <f t="shared" si="0"/>
        <v>508347366</v>
      </c>
      <c r="F14" s="275">
        <f t="shared" si="0"/>
        <v>241241128</v>
      </c>
      <c r="G14" s="275">
        <f t="shared" si="0"/>
        <v>267106238</v>
      </c>
      <c r="H14" s="275">
        <f t="shared" si="0"/>
        <v>439585012</v>
      </c>
      <c r="I14" s="275">
        <f t="shared" si="0"/>
        <v>4303965</v>
      </c>
      <c r="J14" s="275">
        <f t="shared" si="0"/>
        <v>122386197</v>
      </c>
      <c r="K14" s="275">
        <f t="shared" si="0"/>
        <v>71633158</v>
      </c>
      <c r="L14" s="275">
        <f t="shared" si="0"/>
        <v>686517889</v>
      </c>
      <c r="M14" s="275">
        <f t="shared" si="0"/>
        <v>641517911</v>
      </c>
      <c r="N14" s="275">
        <f t="shared" si="0"/>
        <v>144360631</v>
      </c>
      <c r="O14" s="275">
        <f t="shared" si="0"/>
        <v>44999978</v>
      </c>
      <c r="P14" s="276"/>
      <c r="Q14" s="276"/>
      <c r="R14" s="276"/>
      <c r="S14" s="276"/>
      <c r="T14" s="276"/>
    </row>
    <row r="15" spans="1:20" s="272" customFormat="1" ht="8.1" customHeight="1">
      <c r="A15" s="268"/>
      <c r="B15" s="278"/>
      <c r="C15" s="270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9"/>
      <c r="Q15" s="279"/>
      <c r="R15" s="279"/>
      <c r="S15" s="279"/>
      <c r="T15" s="279"/>
    </row>
    <row r="16" spans="1:20" s="285" customFormat="1" ht="14.1" customHeight="1">
      <c r="A16" s="280" t="s">
        <v>61</v>
      </c>
      <c r="B16" s="281" t="s">
        <v>62</v>
      </c>
      <c r="C16" s="282">
        <f>C18+C19+C20+C21+C17</f>
        <v>25995000</v>
      </c>
      <c r="D16" s="283">
        <f>D18+D19+D20+D21+D17</f>
        <v>13393447</v>
      </c>
      <c r="E16" s="283">
        <f t="shared" ref="E16:O16" si="1">E18+E19+E20+E21+E17</f>
        <v>2928447</v>
      </c>
      <c r="F16" s="283">
        <f t="shared" si="1"/>
        <v>376447</v>
      </c>
      <c r="G16" s="283">
        <f t="shared" si="1"/>
        <v>2552000</v>
      </c>
      <c r="H16" s="283">
        <f t="shared" si="1"/>
        <v>2295000</v>
      </c>
      <c r="I16" s="283">
        <f t="shared" si="1"/>
        <v>0</v>
      </c>
      <c r="J16" s="283">
        <f t="shared" si="1"/>
        <v>8170000</v>
      </c>
      <c r="K16" s="283">
        <f t="shared" si="1"/>
        <v>0</v>
      </c>
      <c r="L16" s="283">
        <f t="shared" si="1"/>
        <v>12601553</v>
      </c>
      <c r="M16" s="283">
        <f t="shared" si="1"/>
        <v>12601553</v>
      </c>
      <c r="N16" s="283">
        <f t="shared" si="1"/>
        <v>0</v>
      </c>
      <c r="O16" s="283">
        <f t="shared" si="1"/>
        <v>0</v>
      </c>
      <c r="P16" s="284"/>
      <c r="Q16" s="284"/>
      <c r="R16" s="284"/>
      <c r="S16" s="284"/>
      <c r="T16" s="284"/>
    </row>
    <row r="17" spans="1:20" s="272" customFormat="1" ht="27" customHeight="1">
      <c r="A17" s="268" t="s">
        <v>290</v>
      </c>
      <c r="B17" s="286" t="s">
        <v>291</v>
      </c>
      <c r="C17" s="270">
        <f>D17+L17</f>
        <v>50000</v>
      </c>
      <c r="D17" s="271">
        <f>E17+H17+I17+J17+K17</f>
        <v>50000</v>
      </c>
      <c r="E17" s="271">
        <f>F17+G17</f>
        <v>50000</v>
      </c>
      <c r="F17" s="271">
        <v>0</v>
      </c>
      <c r="G17" s="271">
        <v>50000</v>
      </c>
      <c r="H17" s="271">
        <v>0</v>
      </c>
      <c r="I17" s="271">
        <v>0</v>
      </c>
      <c r="J17" s="271">
        <v>0</v>
      </c>
      <c r="K17" s="271">
        <v>0</v>
      </c>
      <c r="L17" s="271">
        <f>M17+O17</f>
        <v>0</v>
      </c>
      <c r="M17" s="271">
        <v>0</v>
      </c>
      <c r="N17" s="271">
        <v>0</v>
      </c>
      <c r="O17" s="271">
        <v>0</v>
      </c>
      <c r="P17" s="279"/>
      <c r="Q17" s="279"/>
      <c r="R17" s="279"/>
      <c r="S17" s="279"/>
      <c r="T17" s="279"/>
    </row>
    <row r="18" spans="1:20" s="297" customFormat="1" ht="12.75" customHeight="1">
      <c r="A18" s="475" t="s">
        <v>317</v>
      </c>
      <c r="B18" s="476" t="s">
        <v>318</v>
      </c>
      <c r="C18" s="294">
        <f>D18+L18</f>
        <v>1700000</v>
      </c>
      <c r="D18" s="295">
        <f>E18+H18+I18+J18+K18</f>
        <v>1700000</v>
      </c>
      <c r="E18" s="295">
        <f>F18+G18</f>
        <v>0</v>
      </c>
      <c r="F18" s="295">
        <v>0</v>
      </c>
      <c r="G18" s="295">
        <v>0</v>
      </c>
      <c r="H18" s="295">
        <v>1700000</v>
      </c>
      <c r="I18" s="295">
        <v>0</v>
      </c>
      <c r="J18" s="295">
        <v>0</v>
      </c>
      <c r="K18" s="295">
        <v>0</v>
      </c>
      <c r="L18" s="295">
        <f>M18+O18</f>
        <v>0</v>
      </c>
      <c r="M18" s="295">
        <v>0</v>
      </c>
      <c r="N18" s="295">
        <v>0</v>
      </c>
      <c r="O18" s="295">
        <v>0</v>
      </c>
      <c r="P18" s="296"/>
      <c r="Q18" s="296"/>
      <c r="R18" s="296"/>
      <c r="S18" s="296"/>
      <c r="T18" s="296"/>
    </row>
    <row r="19" spans="1:20" s="297" customFormat="1" ht="12.75" customHeight="1">
      <c r="A19" s="475" t="s">
        <v>63</v>
      </c>
      <c r="B19" s="476" t="s">
        <v>319</v>
      </c>
      <c r="C19" s="294">
        <f>D19+L19</f>
        <v>8185000</v>
      </c>
      <c r="D19" s="295">
        <f>E19+H19+I19+J19+K19</f>
        <v>8185000</v>
      </c>
      <c r="E19" s="295">
        <f>F19+G19</f>
        <v>0</v>
      </c>
      <c r="F19" s="295">
        <v>0</v>
      </c>
      <c r="G19" s="295">
        <v>0</v>
      </c>
      <c r="H19" s="295">
        <v>15000</v>
      </c>
      <c r="I19" s="295">
        <v>0</v>
      </c>
      <c r="J19" s="295">
        <f>5199000+2971000</f>
        <v>8170000</v>
      </c>
      <c r="K19" s="295">
        <v>0</v>
      </c>
      <c r="L19" s="295">
        <f>M19+O19</f>
        <v>0</v>
      </c>
      <c r="M19" s="295">
        <v>0</v>
      </c>
      <c r="N19" s="295">
        <v>0</v>
      </c>
      <c r="O19" s="295">
        <v>0</v>
      </c>
      <c r="P19" s="296"/>
      <c r="Q19" s="296"/>
      <c r="R19" s="296"/>
      <c r="S19" s="296"/>
      <c r="T19" s="296"/>
    </row>
    <row r="20" spans="1:20" s="297" customFormat="1" ht="12.75" customHeight="1">
      <c r="A20" s="475" t="s">
        <v>64</v>
      </c>
      <c r="B20" s="476" t="s">
        <v>65</v>
      </c>
      <c r="C20" s="294">
        <f>D20+L20</f>
        <v>13000000</v>
      </c>
      <c r="D20" s="295">
        <f>E20+H20+I20+J20+K20</f>
        <v>398447</v>
      </c>
      <c r="E20" s="295">
        <f>F20+G20</f>
        <v>398447</v>
      </c>
      <c r="F20" s="295">
        <v>376447</v>
      </c>
      <c r="G20" s="295">
        <f>13000000-12978000</f>
        <v>22000</v>
      </c>
      <c r="H20" s="295">
        <v>0</v>
      </c>
      <c r="I20" s="295">
        <v>0</v>
      </c>
      <c r="J20" s="295">
        <v>0</v>
      </c>
      <c r="K20" s="295">
        <v>0</v>
      </c>
      <c r="L20" s="295">
        <f>M20+O20</f>
        <v>12601553</v>
      </c>
      <c r="M20" s="295">
        <v>12601553</v>
      </c>
      <c r="N20" s="295">
        <v>0</v>
      </c>
      <c r="O20" s="295">
        <v>0</v>
      </c>
      <c r="P20" s="296"/>
      <c r="Q20" s="296"/>
      <c r="R20" s="296"/>
      <c r="S20" s="296"/>
      <c r="T20" s="296"/>
    </row>
    <row r="21" spans="1:20" s="297" customFormat="1" ht="12.75" customHeight="1">
      <c r="A21" s="475" t="s">
        <v>320</v>
      </c>
      <c r="B21" s="476" t="s">
        <v>46</v>
      </c>
      <c r="C21" s="294">
        <f>D21+L21</f>
        <v>3060000</v>
      </c>
      <c r="D21" s="295">
        <f>E21+H21+I21+J21+K21</f>
        <v>3060000</v>
      </c>
      <c r="E21" s="295">
        <f>F21+G21</f>
        <v>2480000</v>
      </c>
      <c r="F21" s="295">
        <v>0</v>
      </c>
      <c r="G21" s="295">
        <f>3060000-580000</f>
        <v>2480000</v>
      </c>
      <c r="H21" s="295">
        <v>580000</v>
      </c>
      <c r="I21" s="295">
        <v>0</v>
      </c>
      <c r="J21" s="295">
        <v>0</v>
      </c>
      <c r="K21" s="295">
        <v>0</v>
      </c>
      <c r="L21" s="295">
        <f>M21+O21</f>
        <v>0</v>
      </c>
      <c r="M21" s="295">
        <v>0</v>
      </c>
      <c r="N21" s="295">
        <v>0</v>
      </c>
      <c r="O21" s="295">
        <v>0</v>
      </c>
      <c r="P21" s="296"/>
      <c r="Q21" s="296"/>
      <c r="R21" s="296"/>
      <c r="S21" s="296"/>
      <c r="T21" s="296"/>
    </row>
    <row r="22" spans="1:20" s="290" customFormat="1" ht="14.1" customHeight="1">
      <c r="A22" s="280" t="s">
        <v>21</v>
      </c>
      <c r="B22" s="281" t="s">
        <v>22</v>
      </c>
      <c r="C22" s="287">
        <f>C23+C24</f>
        <v>149000</v>
      </c>
      <c r="D22" s="288">
        <f>D23+D24</f>
        <v>149000</v>
      </c>
      <c r="E22" s="288">
        <f t="shared" ref="E22:O22" si="2">E23+E24</f>
        <v>89000</v>
      </c>
      <c r="F22" s="288">
        <f t="shared" si="2"/>
        <v>89000</v>
      </c>
      <c r="G22" s="288">
        <f t="shared" si="2"/>
        <v>0</v>
      </c>
      <c r="H22" s="288">
        <f t="shared" si="2"/>
        <v>0</v>
      </c>
      <c r="I22" s="288">
        <f t="shared" si="2"/>
        <v>0</v>
      </c>
      <c r="J22" s="288">
        <f t="shared" si="2"/>
        <v>60000</v>
      </c>
      <c r="K22" s="288">
        <f t="shared" si="2"/>
        <v>0</v>
      </c>
      <c r="L22" s="288">
        <f t="shared" si="2"/>
        <v>0</v>
      </c>
      <c r="M22" s="288">
        <f t="shared" si="2"/>
        <v>0</v>
      </c>
      <c r="N22" s="288">
        <f t="shared" si="2"/>
        <v>0</v>
      </c>
      <c r="O22" s="288">
        <f t="shared" si="2"/>
        <v>0</v>
      </c>
      <c r="P22" s="289"/>
      <c r="Q22" s="289"/>
      <c r="R22" s="289"/>
      <c r="S22" s="289"/>
      <c r="T22" s="289"/>
    </row>
    <row r="23" spans="1:20" s="272" customFormat="1" ht="69" customHeight="1">
      <c r="A23" s="268" t="s">
        <v>66</v>
      </c>
      <c r="B23" s="286" t="s">
        <v>321</v>
      </c>
      <c r="C23" s="270">
        <f>D23+L23</f>
        <v>60000</v>
      </c>
      <c r="D23" s="271">
        <f>E23+H23+I23+J23+K23</f>
        <v>60000</v>
      </c>
      <c r="E23" s="271">
        <f>F23+G23</f>
        <v>0</v>
      </c>
      <c r="F23" s="271">
        <v>0</v>
      </c>
      <c r="G23" s="271">
        <v>0</v>
      </c>
      <c r="H23" s="271">
        <v>0</v>
      </c>
      <c r="I23" s="271">
        <v>0</v>
      </c>
      <c r="J23" s="271">
        <f>42000+18000</f>
        <v>60000</v>
      </c>
      <c r="K23" s="271">
        <v>0</v>
      </c>
      <c r="L23" s="271">
        <f>M23+O23</f>
        <v>0</v>
      </c>
      <c r="M23" s="271">
        <v>0</v>
      </c>
      <c r="N23" s="271">
        <v>0</v>
      </c>
      <c r="O23" s="271">
        <v>0</v>
      </c>
      <c r="P23" s="279"/>
      <c r="Q23" s="279"/>
      <c r="R23" s="279"/>
      <c r="S23" s="279"/>
      <c r="T23" s="279"/>
    </row>
    <row r="24" spans="1:20" s="297" customFormat="1" ht="12.75" customHeight="1">
      <c r="A24" s="475" t="s">
        <v>60</v>
      </c>
      <c r="B24" s="476" t="s">
        <v>46</v>
      </c>
      <c r="C24" s="294">
        <f>D24+L24</f>
        <v>89000</v>
      </c>
      <c r="D24" s="295">
        <f>E24+H24+I24+J24+K24</f>
        <v>89000</v>
      </c>
      <c r="E24" s="295">
        <f>F24+G24</f>
        <v>89000</v>
      </c>
      <c r="F24" s="295">
        <v>89000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f>M24+O24</f>
        <v>0</v>
      </c>
      <c r="M24" s="295">
        <v>0</v>
      </c>
      <c r="N24" s="295">
        <v>0</v>
      </c>
      <c r="O24" s="295">
        <v>0</v>
      </c>
      <c r="P24" s="296"/>
      <c r="Q24" s="296"/>
      <c r="R24" s="296"/>
      <c r="S24" s="296"/>
      <c r="T24" s="296"/>
    </row>
    <row r="25" spans="1:20" s="292" customFormat="1" ht="14.1" customHeight="1">
      <c r="A25" s="280" t="s">
        <v>67</v>
      </c>
      <c r="B25" s="281" t="s">
        <v>322</v>
      </c>
      <c r="C25" s="282">
        <f>C26</f>
        <v>17644211</v>
      </c>
      <c r="D25" s="283">
        <f>D26</f>
        <v>17644211</v>
      </c>
      <c r="E25" s="283">
        <f t="shared" ref="E25:O25" si="3">E26</f>
        <v>20000</v>
      </c>
      <c r="F25" s="283">
        <f t="shared" si="3"/>
        <v>5000</v>
      </c>
      <c r="G25" s="283">
        <f t="shared" si="3"/>
        <v>15000</v>
      </c>
      <c r="H25" s="283">
        <f t="shared" si="3"/>
        <v>0</v>
      </c>
      <c r="I25" s="283">
        <f t="shared" si="3"/>
        <v>0</v>
      </c>
      <c r="J25" s="283">
        <f t="shared" si="3"/>
        <v>17624211</v>
      </c>
      <c r="K25" s="283">
        <f t="shared" si="3"/>
        <v>0</v>
      </c>
      <c r="L25" s="283">
        <f t="shared" si="3"/>
        <v>0</v>
      </c>
      <c r="M25" s="283">
        <f t="shared" si="3"/>
        <v>0</v>
      </c>
      <c r="N25" s="283">
        <f t="shared" si="3"/>
        <v>0</v>
      </c>
      <c r="O25" s="283">
        <f t="shared" si="3"/>
        <v>0</v>
      </c>
      <c r="P25" s="291"/>
      <c r="Q25" s="291"/>
      <c r="R25" s="291"/>
      <c r="S25" s="291"/>
      <c r="T25" s="291"/>
    </row>
    <row r="26" spans="1:20" s="272" customFormat="1" ht="27" customHeight="1">
      <c r="A26" s="268" t="s">
        <v>323</v>
      </c>
      <c r="B26" s="286" t="s">
        <v>324</v>
      </c>
      <c r="C26" s="270">
        <f>D26+L26</f>
        <v>17644211</v>
      </c>
      <c r="D26" s="271">
        <f>E26+H26+I26+J26+K26</f>
        <v>17644211</v>
      </c>
      <c r="E26" s="271">
        <f>F26+G26</f>
        <v>20000</v>
      </c>
      <c r="F26" s="271">
        <v>5000</v>
      </c>
      <c r="G26" s="271">
        <f>17644211-17629211</f>
        <v>15000</v>
      </c>
      <c r="H26" s="271">
        <v>0</v>
      </c>
      <c r="I26" s="271">
        <v>0</v>
      </c>
      <c r="J26" s="271">
        <f>15837254+1786957</f>
        <v>17624211</v>
      </c>
      <c r="K26" s="271">
        <v>0</v>
      </c>
      <c r="L26" s="271">
        <f>M26+O26</f>
        <v>0</v>
      </c>
      <c r="M26" s="271">
        <v>0</v>
      </c>
      <c r="N26" s="271">
        <v>0</v>
      </c>
      <c r="O26" s="271">
        <v>0</v>
      </c>
      <c r="P26" s="279"/>
      <c r="Q26" s="279"/>
      <c r="R26" s="279"/>
      <c r="S26" s="279"/>
      <c r="T26" s="279"/>
    </row>
    <row r="27" spans="1:20" s="292" customFormat="1" ht="14.1" customHeight="1">
      <c r="A27" s="280" t="s">
        <v>23</v>
      </c>
      <c r="B27" s="281" t="s">
        <v>24</v>
      </c>
      <c r="C27" s="293">
        <f>C28+C30+C32+C37+C33+C31+C36+C34+C35+C29</f>
        <v>752283115</v>
      </c>
      <c r="D27" s="283">
        <f>D28+D30+D32+D37+D33+D31+D36+D34+D35+D29</f>
        <v>338202732</v>
      </c>
      <c r="E27" s="283">
        <f t="shared" ref="E27:O27" si="4">E28+E30+E32+E37+E33+E31+E36+E34+E35+E29</f>
        <v>68026073</v>
      </c>
      <c r="F27" s="283">
        <f t="shared" si="4"/>
        <v>383000</v>
      </c>
      <c r="G27" s="283">
        <f t="shared" si="4"/>
        <v>67643073</v>
      </c>
      <c r="H27" s="283">
        <f t="shared" si="4"/>
        <v>269039000</v>
      </c>
      <c r="I27" s="283">
        <f t="shared" si="4"/>
        <v>0</v>
      </c>
      <c r="J27" s="283">
        <f t="shared" si="4"/>
        <v>1137659</v>
      </c>
      <c r="K27" s="283">
        <f t="shared" si="4"/>
        <v>0</v>
      </c>
      <c r="L27" s="283">
        <f t="shared" si="4"/>
        <v>414080383</v>
      </c>
      <c r="M27" s="283">
        <f t="shared" si="4"/>
        <v>402580405</v>
      </c>
      <c r="N27" s="283">
        <f t="shared" si="4"/>
        <v>93087009</v>
      </c>
      <c r="O27" s="283">
        <f t="shared" si="4"/>
        <v>11499978</v>
      </c>
      <c r="P27" s="291"/>
      <c r="Q27" s="291"/>
      <c r="R27" s="291"/>
      <c r="S27" s="291"/>
      <c r="T27" s="291"/>
    </row>
    <row r="28" spans="1:20" s="297" customFormat="1" ht="12.75" customHeight="1">
      <c r="A28" s="475" t="s">
        <v>325</v>
      </c>
      <c r="B28" s="476" t="s">
        <v>68</v>
      </c>
      <c r="C28" s="294">
        <f t="shared" ref="C28:C37" si="5">D28+L28</f>
        <v>225325000</v>
      </c>
      <c r="D28" s="295">
        <f t="shared" ref="D28:D37" si="6">E28+H28+I28+J28+K28</f>
        <v>218450000</v>
      </c>
      <c r="E28" s="295">
        <f t="shared" ref="E28:E37" si="7">F28+G28</f>
        <v>350000</v>
      </c>
      <c r="F28" s="295">
        <v>150000</v>
      </c>
      <c r="G28" s="295">
        <f>225325000-225125000</f>
        <v>200000</v>
      </c>
      <c r="H28" s="295">
        <v>218100000</v>
      </c>
      <c r="I28" s="295">
        <v>0</v>
      </c>
      <c r="J28" s="295">
        <v>0</v>
      </c>
      <c r="K28" s="295">
        <v>0</v>
      </c>
      <c r="L28" s="295">
        <f>M28+O28</f>
        <v>6875000</v>
      </c>
      <c r="M28" s="295">
        <v>6875000</v>
      </c>
      <c r="N28" s="295">
        <v>0</v>
      </c>
      <c r="O28" s="295">
        <v>0</v>
      </c>
      <c r="P28" s="296"/>
      <c r="Q28" s="296"/>
      <c r="R28" s="296"/>
      <c r="S28" s="296"/>
      <c r="T28" s="296"/>
    </row>
    <row r="29" spans="1:20" s="297" customFormat="1" ht="12.75" customHeight="1">
      <c r="A29" s="475">
        <v>60002</v>
      </c>
      <c r="B29" s="476" t="s">
        <v>326</v>
      </c>
      <c r="C29" s="294">
        <f>D29+L29</f>
        <v>200000</v>
      </c>
      <c r="D29" s="295">
        <f>E29+H29+I29+J29+K29</f>
        <v>0</v>
      </c>
      <c r="E29" s="295">
        <f>F29+G29</f>
        <v>0</v>
      </c>
      <c r="F29" s="295">
        <v>0</v>
      </c>
      <c r="G29" s="295">
        <v>0</v>
      </c>
      <c r="H29" s="295">
        <v>0</v>
      </c>
      <c r="I29" s="295">
        <v>0</v>
      </c>
      <c r="J29" s="295">
        <v>0</v>
      </c>
      <c r="K29" s="295">
        <v>0</v>
      </c>
      <c r="L29" s="295">
        <f>M29+O29</f>
        <v>200000</v>
      </c>
      <c r="M29" s="295">
        <v>200000</v>
      </c>
      <c r="N29" s="295">
        <v>0</v>
      </c>
      <c r="O29" s="295">
        <v>0</v>
      </c>
      <c r="P29" s="296"/>
      <c r="Q29" s="296"/>
      <c r="R29" s="296"/>
      <c r="S29" s="296"/>
      <c r="T29" s="296"/>
    </row>
    <row r="30" spans="1:20" s="297" customFormat="1" ht="12.75" customHeight="1">
      <c r="A30" s="475" t="s">
        <v>327</v>
      </c>
      <c r="B30" s="476" t="s">
        <v>49</v>
      </c>
      <c r="C30" s="294">
        <f t="shared" si="5"/>
        <v>43411038</v>
      </c>
      <c r="D30" s="295">
        <f t="shared" si="6"/>
        <v>43411038</v>
      </c>
      <c r="E30" s="295">
        <f t="shared" si="7"/>
        <v>22038</v>
      </c>
      <c r="F30" s="295">
        <v>0</v>
      </c>
      <c r="G30" s="295">
        <f>43411038-43389000</f>
        <v>22038</v>
      </c>
      <c r="H30" s="295">
        <v>43389000</v>
      </c>
      <c r="I30" s="295">
        <v>0</v>
      </c>
      <c r="J30" s="295">
        <v>0</v>
      </c>
      <c r="K30" s="295">
        <v>0</v>
      </c>
      <c r="L30" s="295">
        <f t="shared" ref="L30:L37" si="8">M30+O30</f>
        <v>0</v>
      </c>
      <c r="M30" s="295">
        <v>0</v>
      </c>
      <c r="N30" s="295">
        <v>0</v>
      </c>
      <c r="O30" s="295">
        <v>0</v>
      </c>
      <c r="P30" s="296"/>
      <c r="Q30" s="296"/>
      <c r="R30" s="296"/>
      <c r="S30" s="296"/>
      <c r="T30" s="296"/>
    </row>
    <row r="31" spans="1:20" s="297" customFormat="1" ht="12.75" customHeight="1">
      <c r="A31" s="475">
        <v>60004</v>
      </c>
      <c r="B31" s="476" t="s">
        <v>328</v>
      </c>
      <c r="C31" s="294">
        <f t="shared" si="5"/>
        <v>7500000</v>
      </c>
      <c r="D31" s="295">
        <f t="shared" si="6"/>
        <v>7500000</v>
      </c>
      <c r="E31" s="295">
        <f t="shared" si="7"/>
        <v>0</v>
      </c>
      <c r="F31" s="295">
        <v>0</v>
      </c>
      <c r="G31" s="295">
        <v>0</v>
      </c>
      <c r="H31" s="295">
        <v>7500000</v>
      </c>
      <c r="I31" s="295">
        <v>0</v>
      </c>
      <c r="J31" s="295">
        <v>0</v>
      </c>
      <c r="K31" s="295">
        <v>0</v>
      </c>
      <c r="L31" s="295">
        <f t="shared" si="8"/>
        <v>0</v>
      </c>
      <c r="M31" s="295">
        <v>0</v>
      </c>
      <c r="N31" s="295">
        <v>0</v>
      </c>
      <c r="O31" s="295">
        <v>0</v>
      </c>
      <c r="P31" s="296"/>
      <c r="Q31" s="296"/>
      <c r="R31" s="296"/>
      <c r="S31" s="296"/>
      <c r="T31" s="296"/>
    </row>
    <row r="32" spans="1:20" s="297" customFormat="1" ht="12.75" customHeight="1">
      <c r="A32" s="475" t="s">
        <v>250</v>
      </c>
      <c r="B32" s="476" t="s">
        <v>69</v>
      </c>
      <c r="C32" s="294">
        <f t="shared" si="5"/>
        <v>432024862</v>
      </c>
      <c r="D32" s="295">
        <f t="shared" si="6"/>
        <v>67157659</v>
      </c>
      <c r="E32" s="295">
        <f t="shared" si="7"/>
        <v>66020000</v>
      </c>
      <c r="F32" s="295">
        <v>0</v>
      </c>
      <c r="G32" s="295">
        <f>432024862-366004862</f>
        <v>66020000</v>
      </c>
      <c r="H32" s="295">
        <v>0</v>
      </c>
      <c r="I32" s="295">
        <v>0</v>
      </c>
      <c r="J32" s="295">
        <f>80090969-N32+14133699</f>
        <v>1137659</v>
      </c>
      <c r="K32" s="295">
        <v>0</v>
      </c>
      <c r="L32" s="295">
        <f t="shared" si="8"/>
        <v>364867203</v>
      </c>
      <c r="M32" s="295">
        <v>364867203</v>
      </c>
      <c r="N32" s="295">
        <f>79123959+13963050</f>
        <v>93087009</v>
      </c>
      <c r="O32" s="295">
        <v>0</v>
      </c>
      <c r="P32" s="296"/>
      <c r="Q32" s="296"/>
      <c r="R32" s="296"/>
      <c r="S32" s="296"/>
      <c r="T32" s="296"/>
    </row>
    <row r="33" spans="1:20" s="297" customFormat="1" ht="12.75" customHeight="1">
      <c r="A33" s="475" t="s">
        <v>329</v>
      </c>
      <c r="B33" s="476" t="s">
        <v>330</v>
      </c>
      <c r="C33" s="294">
        <f t="shared" si="5"/>
        <v>3864000</v>
      </c>
      <c r="D33" s="295">
        <f t="shared" si="6"/>
        <v>0</v>
      </c>
      <c r="E33" s="295">
        <f t="shared" si="7"/>
        <v>0</v>
      </c>
      <c r="F33" s="295">
        <v>0</v>
      </c>
      <c r="G33" s="295">
        <v>0</v>
      </c>
      <c r="H33" s="295">
        <v>0</v>
      </c>
      <c r="I33" s="295">
        <v>0</v>
      </c>
      <c r="J33" s="295">
        <v>0</v>
      </c>
      <c r="K33" s="295">
        <v>0</v>
      </c>
      <c r="L33" s="295">
        <f>M33+O33</f>
        <v>3864000</v>
      </c>
      <c r="M33" s="295">
        <v>3864000</v>
      </c>
      <c r="N33" s="295">
        <v>0</v>
      </c>
      <c r="O33" s="295">
        <v>0</v>
      </c>
      <c r="P33" s="296"/>
      <c r="Q33" s="296"/>
      <c r="R33" s="296"/>
      <c r="S33" s="296"/>
      <c r="T33" s="296"/>
    </row>
    <row r="34" spans="1:20" s="297" customFormat="1" ht="12.75" customHeight="1">
      <c r="A34" s="475">
        <v>60016</v>
      </c>
      <c r="B34" s="476" t="s">
        <v>331</v>
      </c>
      <c r="C34" s="294">
        <f>D34+L34</f>
        <v>150000</v>
      </c>
      <c r="D34" s="295">
        <f>E34+H34+I34+J34+K34</f>
        <v>0</v>
      </c>
      <c r="E34" s="295">
        <f>F34+G34</f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5">
        <f>M34+O34</f>
        <v>150000</v>
      </c>
      <c r="M34" s="295">
        <v>150000</v>
      </c>
      <c r="N34" s="295">
        <v>0</v>
      </c>
      <c r="O34" s="295">
        <v>0</v>
      </c>
      <c r="P34" s="296"/>
      <c r="Q34" s="296"/>
      <c r="R34" s="296"/>
      <c r="S34" s="296"/>
      <c r="T34" s="296"/>
    </row>
    <row r="35" spans="1:20" s="297" customFormat="1" ht="12.75" customHeight="1">
      <c r="A35" s="475" t="s">
        <v>332</v>
      </c>
      <c r="B35" s="476" t="s">
        <v>333</v>
      </c>
      <c r="C35" s="294">
        <f>D35+L35</f>
        <v>26624202</v>
      </c>
      <c r="D35" s="295">
        <f>E35+H35+I35+J35+K35</f>
        <v>0</v>
      </c>
      <c r="E35" s="295">
        <f>F35+G35</f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5">
        <f>M35+O35</f>
        <v>26624202</v>
      </c>
      <c r="M35" s="295">
        <v>26624202</v>
      </c>
      <c r="N35" s="295">
        <v>0</v>
      </c>
      <c r="O35" s="295">
        <v>0</v>
      </c>
      <c r="P35" s="296"/>
      <c r="Q35" s="296"/>
      <c r="R35" s="296"/>
      <c r="S35" s="296"/>
      <c r="T35" s="296"/>
    </row>
    <row r="36" spans="1:20" s="297" customFormat="1" ht="12.75" customHeight="1">
      <c r="A36" s="475">
        <v>60041</v>
      </c>
      <c r="B36" s="476" t="s">
        <v>334</v>
      </c>
      <c r="C36" s="294">
        <f>D36+L36</f>
        <v>11499978</v>
      </c>
      <c r="D36" s="295">
        <f>E36+H36+I36+J36+K36</f>
        <v>0</v>
      </c>
      <c r="E36" s="295">
        <f>F36+G36</f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f>M36+O36</f>
        <v>11499978</v>
      </c>
      <c r="M36" s="295">
        <v>0</v>
      </c>
      <c r="N36" s="295">
        <v>0</v>
      </c>
      <c r="O36" s="295">
        <v>11499978</v>
      </c>
      <c r="P36" s="296"/>
      <c r="Q36" s="296"/>
      <c r="R36" s="296"/>
      <c r="S36" s="296"/>
      <c r="T36" s="296"/>
    </row>
    <row r="37" spans="1:20" s="297" customFormat="1" ht="12.75" customHeight="1">
      <c r="A37" s="475" t="s">
        <v>335</v>
      </c>
      <c r="B37" s="476" t="s">
        <v>46</v>
      </c>
      <c r="C37" s="294">
        <f t="shared" si="5"/>
        <v>1684035</v>
      </c>
      <c r="D37" s="295">
        <f t="shared" si="6"/>
        <v>1684035</v>
      </c>
      <c r="E37" s="295">
        <f t="shared" si="7"/>
        <v>1634035</v>
      </c>
      <c r="F37" s="295">
        <v>233000</v>
      </c>
      <c r="G37" s="295">
        <f>1684035-283000</f>
        <v>1401035</v>
      </c>
      <c r="H37" s="295">
        <v>50000</v>
      </c>
      <c r="I37" s="295">
        <v>0</v>
      </c>
      <c r="J37" s="295">
        <v>0</v>
      </c>
      <c r="K37" s="295">
        <v>0</v>
      </c>
      <c r="L37" s="295">
        <f t="shared" si="8"/>
        <v>0</v>
      </c>
      <c r="M37" s="295">
        <v>0</v>
      </c>
      <c r="N37" s="295">
        <v>0</v>
      </c>
      <c r="O37" s="295">
        <v>0</v>
      </c>
      <c r="P37" s="296"/>
      <c r="Q37" s="296"/>
      <c r="R37" s="296"/>
      <c r="S37" s="296"/>
      <c r="T37" s="296"/>
    </row>
    <row r="38" spans="1:20" s="292" customFormat="1" ht="14.1" customHeight="1">
      <c r="A38" s="280" t="s">
        <v>55</v>
      </c>
      <c r="B38" s="281" t="s">
        <v>56</v>
      </c>
      <c r="C38" s="282">
        <f>C39</f>
        <v>2133900</v>
      </c>
      <c r="D38" s="283">
        <f>D39</f>
        <v>2133900</v>
      </c>
      <c r="E38" s="283">
        <f t="shared" ref="E38:O38" si="9">E39</f>
        <v>1883900</v>
      </c>
      <c r="F38" s="283">
        <f t="shared" si="9"/>
        <v>212000</v>
      </c>
      <c r="G38" s="283">
        <f t="shared" si="9"/>
        <v>1671900</v>
      </c>
      <c r="H38" s="283">
        <f t="shared" si="9"/>
        <v>250000</v>
      </c>
      <c r="I38" s="283">
        <f t="shared" si="9"/>
        <v>0</v>
      </c>
      <c r="J38" s="283">
        <f t="shared" si="9"/>
        <v>0</v>
      </c>
      <c r="K38" s="283">
        <f t="shared" si="9"/>
        <v>0</v>
      </c>
      <c r="L38" s="283">
        <f t="shared" si="9"/>
        <v>0</v>
      </c>
      <c r="M38" s="283">
        <f t="shared" si="9"/>
        <v>0</v>
      </c>
      <c r="N38" s="283">
        <f t="shared" si="9"/>
        <v>0</v>
      </c>
      <c r="O38" s="283">
        <f t="shared" si="9"/>
        <v>0</v>
      </c>
      <c r="P38" s="291"/>
      <c r="Q38" s="291"/>
      <c r="R38" s="291"/>
      <c r="S38" s="291"/>
      <c r="T38" s="291"/>
    </row>
    <row r="39" spans="1:20" s="297" customFormat="1" ht="12.75" customHeight="1">
      <c r="A39" s="475" t="s">
        <v>336</v>
      </c>
      <c r="B39" s="476" t="s">
        <v>46</v>
      </c>
      <c r="C39" s="294">
        <f>D39+L39</f>
        <v>2133900</v>
      </c>
      <c r="D39" s="295">
        <f>E39+H39+I39+J39+K39</f>
        <v>2133900</v>
      </c>
      <c r="E39" s="295">
        <f>F39+G39</f>
        <v>1883900</v>
      </c>
      <c r="F39" s="295">
        <v>212000</v>
      </c>
      <c r="G39" s="295">
        <f>2133900-462000</f>
        <v>1671900</v>
      </c>
      <c r="H39" s="295">
        <v>250000</v>
      </c>
      <c r="I39" s="295">
        <v>0</v>
      </c>
      <c r="J39" s="295">
        <v>0</v>
      </c>
      <c r="K39" s="295">
        <v>0</v>
      </c>
      <c r="L39" s="295">
        <f>M39+O39</f>
        <v>0</v>
      </c>
      <c r="M39" s="295">
        <v>0</v>
      </c>
      <c r="N39" s="295">
        <v>0</v>
      </c>
      <c r="O39" s="295">
        <v>0</v>
      </c>
      <c r="P39" s="296"/>
      <c r="Q39" s="296"/>
      <c r="R39" s="296"/>
      <c r="S39" s="296"/>
      <c r="T39" s="296"/>
    </row>
    <row r="40" spans="1:20" s="292" customFormat="1" ht="14.1" customHeight="1">
      <c r="A40" s="280" t="s">
        <v>25</v>
      </c>
      <c r="B40" s="281" t="s">
        <v>26</v>
      </c>
      <c r="C40" s="293">
        <f>C41</f>
        <v>895140</v>
      </c>
      <c r="D40" s="283">
        <f>D41</f>
        <v>872500</v>
      </c>
      <c r="E40" s="283">
        <f t="shared" ref="E40:O40" si="10">E41</f>
        <v>872500</v>
      </c>
      <c r="F40" s="283">
        <f t="shared" si="10"/>
        <v>0</v>
      </c>
      <c r="G40" s="283">
        <f t="shared" si="10"/>
        <v>872500</v>
      </c>
      <c r="H40" s="283">
        <f t="shared" si="10"/>
        <v>0</v>
      </c>
      <c r="I40" s="283">
        <f t="shared" si="10"/>
        <v>0</v>
      </c>
      <c r="J40" s="283">
        <f t="shared" si="10"/>
        <v>0</v>
      </c>
      <c r="K40" s="283">
        <f t="shared" si="10"/>
        <v>0</v>
      </c>
      <c r="L40" s="283">
        <f t="shared" si="10"/>
        <v>22640</v>
      </c>
      <c r="M40" s="283">
        <f t="shared" si="10"/>
        <v>22640</v>
      </c>
      <c r="N40" s="283">
        <f t="shared" si="10"/>
        <v>0</v>
      </c>
      <c r="O40" s="283">
        <f t="shared" si="10"/>
        <v>0</v>
      </c>
      <c r="P40" s="291"/>
      <c r="Q40" s="291"/>
      <c r="R40" s="291"/>
      <c r="S40" s="291"/>
      <c r="T40" s="291"/>
    </row>
    <row r="41" spans="1:20" s="297" customFormat="1" ht="12.75" customHeight="1">
      <c r="A41" s="475" t="s">
        <v>337</v>
      </c>
      <c r="B41" s="476" t="s">
        <v>70</v>
      </c>
      <c r="C41" s="294">
        <f>D41+L41</f>
        <v>895140</v>
      </c>
      <c r="D41" s="295">
        <f>E41+H41+I41+J41+K41</f>
        <v>872500</v>
      </c>
      <c r="E41" s="295">
        <f>F41+G41</f>
        <v>872500</v>
      </c>
      <c r="F41" s="295">
        <v>0</v>
      </c>
      <c r="G41" s="295">
        <f>895140-22640</f>
        <v>872500</v>
      </c>
      <c r="H41" s="295">
        <v>0</v>
      </c>
      <c r="I41" s="295">
        <v>0</v>
      </c>
      <c r="J41" s="295">
        <v>0</v>
      </c>
      <c r="K41" s="295">
        <v>0</v>
      </c>
      <c r="L41" s="295">
        <f>M41+O41</f>
        <v>22640</v>
      </c>
      <c r="M41" s="295">
        <v>22640</v>
      </c>
      <c r="N41" s="295">
        <v>0</v>
      </c>
      <c r="O41" s="295">
        <v>0</v>
      </c>
      <c r="P41" s="296"/>
      <c r="Q41" s="296"/>
      <c r="R41" s="296"/>
      <c r="S41" s="296"/>
      <c r="T41" s="296"/>
    </row>
    <row r="42" spans="1:20" s="292" customFormat="1" ht="14.1" customHeight="1">
      <c r="A42" s="280" t="s">
        <v>27</v>
      </c>
      <c r="B42" s="281" t="s">
        <v>28</v>
      </c>
      <c r="C42" s="293">
        <f>C43+C44+C45+C46</f>
        <v>6890168</v>
      </c>
      <c r="D42" s="283">
        <f>D43+D44+D45+D46</f>
        <v>6890168</v>
      </c>
      <c r="E42" s="283">
        <f t="shared" ref="E42:O42" si="11">E43+E44+E45+E46</f>
        <v>6885168</v>
      </c>
      <c r="F42" s="283">
        <f t="shared" si="11"/>
        <v>5895770</v>
      </c>
      <c r="G42" s="283">
        <f t="shared" si="11"/>
        <v>989398</v>
      </c>
      <c r="H42" s="283">
        <f t="shared" si="11"/>
        <v>0</v>
      </c>
      <c r="I42" s="283">
        <f t="shared" si="11"/>
        <v>5000</v>
      </c>
      <c r="J42" s="283">
        <f t="shared" si="11"/>
        <v>0</v>
      </c>
      <c r="K42" s="283">
        <f t="shared" si="11"/>
        <v>0</v>
      </c>
      <c r="L42" s="283">
        <f t="shared" si="11"/>
        <v>0</v>
      </c>
      <c r="M42" s="283">
        <f t="shared" si="11"/>
        <v>0</v>
      </c>
      <c r="N42" s="283">
        <f t="shared" si="11"/>
        <v>0</v>
      </c>
      <c r="O42" s="283">
        <f t="shared" si="11"/>
        <v>0</v>
      </c>
      <c r="P42" s="291"/>
      <c r="Q42" s="291"/>
      <c r="R42" s="291"/>
      <c r="S42" s="291"/>
      <c r="T42" s="291"/>
    </row>
    <row r="43" spans="1:20" s="297" customFormat="1" ht="12.75" customHeight="1">
      <c r="A43" s="475" t="s">
        <v>338</v>
      </c>
      <c r="B43" s="476" t="s">
        <v>71</v>
      </c>
      <c r="C43" s="294">
        <f>D43+L43</f>
        <v>6363168</v>
      </c>
      <c r="D43" s="295">
        <f>E43+H43+I43+J43+K43</f>
        <v>6363168</v>
      </c>
      <c r="E43" s="295">
        <f>F43+G43</f>
        <v>6358168</v>
      </c>
      <c r="F43" s="295">
        <v>5573770</v>
      </c>
      <c r="G43" s="295">
        <f>6363168-5578770</f>
        <v>784398</v>
      </c>
      <c r="H43" s="295">
        <v>0</v>
      </c>
      <c r="I43" s="295">
        <v>5000</v>
      </c>
      <c r="J43" s="295">
        <v>0</v>
      </c>
      <c r="K43" s="295">
        <v>0</v>
      </c>
      <c r="L43" s="295">
        <f>M43+O43</f>
        <v>0</v>
      </c>
      <c r="M43" s="295">
        <v>0</v>
      </c>
      <c r="N43" s="295">
        <v>0</v>
      </c>
      <c r="O43" s="295">
        <v>0</v>
      </c>
      <c r="P43" s="296"/>
      <c r="Q43" s="296"/>
      <c r="R43" s="296"/>
      <c r="S43" s="296"/>
      <c r="T43" s="296"/>
    </row>
    <row r="44" spans="1:20" s="297" customFormat="1" ht="12.75" customHeight="1">
      <c r="A44" s="475" t="s">
        <v>339</v>
      </c>
      <c r="B44" s="476" t="s">
        <v>340</v>
      </c>
      <c r="C44" s="294">
        <f>D44+L44</f>
        <v>20000</v>
      </c>
      <c r="D44" s="295">
        <f>E44+H44+I44+J44+K44</f>
        <v>20000</v>
      </c>
      <c r="E44" s="295">
        <f>F44+G44</f>
        <v>20000</v>
      </c>
      <c r="F44" s="295">
        <v>5000</v>
      </c>
      <c r="G44" s="295">
        <f>20000-5000</f>
        <v>15000</v>
      </c>
      <c r="H44" s="295">
        <v>0</v>
      </c>
      <c r="I44" s="295">
        <v>0</v>
      </c>
      <c r="J44" s="295">
        <v>0</v>
      </c>
      <c r="K44" s="295">
        <v>0</v>
      </c>
      <c r="L44" s="295">
        <f>M44+O44</f>
        <v>0</v>
      </c>
      <c r="M44" s="295">
        <v>0</v>
      </c>
      <c r="N44" s="295">
        <v>0</v>
      </c>
      <c r="O44" s="295">
        <v>0</v>
      </c>
      <c r="P44" s="296"/>
      <c r="Q44" s="296"/>
      <c r="R44" s="296"/>
      <c r="S44" s="296"/>
      <c r="T44" s="296"/>
    </row>
    <row r="45" spans="1:20" s="297" customFormat="1" ht="12.75" customHeight="1">
      <c r="A45" s="475" t="s">
        <v>341</v>
      </c>
      <c r="B45" s="476" t="s">
        <v>50</v>
      </c>
      <c r="C45" s="294">
        <f>D45+L45</f>
        <v>317000</v>
      </c>
      <c r="D45" s="295">
        <f>E45+H45+I45+J45+K45</f>
        <v>317000</v>
      </c>
      <c r="E45" s="295">
        <f>F45+G45</f>
        <v>317000</v>
      </c>
      <c r="F45" s="295">
        <v>317000</v>
      </c>
      <c r="G45" s="295">
        <v>0</v>
      </c>
      <c r="H45" s="295">
        <v>0</v>
      </c>
      <c r="I45" s="295">
        <v>0</v>
      </c>
      <c r="J45" s="295">
        <v>0</v>
      </c>
      <c r="K45" s="295">
        <v>0</v>
      </c>
      <c r="L45" s="295">
        <f>M45+O45</f>
        <v>0</v>
      </c>
      <c r="M45" s="295">
        <v>0</v>
      </c>
      <c r="N45" s="295">
        <v>0</v>
      </c>
      <c r="O45" s="295">
        <v>0</v>
      </c>
      <c r="P45" s="296"/>
      <c r="Q45" s="296"/>
      <c r="R45" s="296"/>
      <c r="S45" s="296"/>
      <c r="T45" s="296"/>
    </row>
    <row r="46" spans="1:20" s="297" customFormat="1" ht="12.75" customHeight="1">
      <c r="A46" s="475" t="s">
        <v>342</v>
      </c>
      <c r="B46" s="476" t="s">
        <v>51</v>
      </c>
      <c r="C46" s="294">
        <f>D46+L46</f>
        <v>190000</v>
      </c>
      <c r="D46" s="295">
        <f>E46+H46+I46+J46+K46</f>
        <v>190000</v>
      </c>
      <c r="E46" s="295">
        <f>F46+G46</f>
        <v>190000</v>
      </c>
      <c r="F46" s="295">
        <v>0</v>
      </c>
      <c r="G46" s="295">
        <v>190000</v>
      </c>
      <c r="H46" s="295">
        <v>0</v>
      </c>
      <c r="I46" s="295">
        <v>0</v>
      </c>
      <c r="J46" s="295">
        <v>0</v>
      </c>
      <c r="K46" s="295">
        <v>0</v>
      </c>
      <c r="L46" s="295">
        <f>M46+O46</f>
        <v>0</v>
      </c>
      <c r="M46" s="295">
        <v>0</v>
      </c>
      <c r="N46" s="295">
        <v>0</v>
      </c>
      <c r="O46" s="295">
        <v>0</v>
      </c>
      <c r="P46" s="296"/>
      <c r="Q46" s="296"/>
      <c r="R46" s="296"/>
      <c r="S46" s="296"/>
      <c r="T46" s="296"/>
    </row>
    <row r="47" spans="1:20" s="292" customFormat="1" ht="14.1" customHeight="1">
      <c r="A47" s="280" t="s">
        <v>72</v>
      </c>
      <c r="B47" s="281" t="s">
        <v>343</v>
      </c>
      <c r="C47" s="282">
        <f t="shared" ref="C47:O47" si="12">C48</f>
        <v>23371323</v>
      </c>
      <c r="D47" s="283">
        <f t="shared" si="12"/>
        <v>1162285</v>
      </c>
      <c r="E47" s="283">
        <f t="shared" si="12"/>
        <v>500000</v>
      </c>
      <c r="F47" s="283">
        <f t="shared" si="12"/>
        <v>0</v>
      </c>
      <c r="G47" s="283">
        <f t="shared" si="12"/>
        <v>500000</v>
      </c>
      <c r="H47" s="283">
        <f t="shared" si="12"/>
        <v>0</v>
      </c>
      <c r="I47" s="283">
        <f t="shared" si="12"/>
        <v>0</v>
      </c>
      <c r="J47" s="283">
        <f t="shared" si="12"/>
        <v>662285</v>
      </c>
      <c r="K47" s="283">
        <f t="shared" si="12"/>
        <v>0</v>
      </c>
      <c r="L47" s="283">
        <f t="shared" si="12"/>
        <v>22209038</v>
      </c>
      <c r="M47" s="283">
        <f t="shared" si="12"/>
        <v>22209038</v>
      </c>
      <c r="N47" s="283">
        <f>N48</f>
        <v>22100399</v>
      </c>
      <c r="O47" s="283">
        <f t="shared" si="12"/>
        <v>0</v>
      </c>
      <c r="P47" s="291"/>
      <c r="Q47" s="291"/>
      <c r="R47" s="291"/>
      <c r="S47" s="291"/>
      <c r="T47" s="291"/>
    </row>
    <row r="48" spans="1:20" s="297" customFormat="1" ht="12.75" customHeight="1">
      <c r="A48" s="475" t="s">
        <v>344</v>
      </c>
      <c r="B48" s="476" t="s">
        <v>46</v>
      </c>
      <c r="C48" s="294">
        <f>D48+L48</f>
        <v>23371323</v>
      </c>
      <c r="D48" s="295">
        <f>E48+H48+I48+J48+K48</f>
        <v>1162285</v>
      </c>
      <c r="E48" s="295">
        <f>F48+G48</f>
        <v>500000</v>
      </c>
      <c r="F48" s="295">
        <v>0</v>
      </c>
      <c r="G48" s="295">
        <f>23371323-22871323</f>
        <v>500000</v>
      </c>
      <c r="H48" s="295">
        <v>0</v>
      </c>
      <c r="I48" s="295">
        <v>0</v>
      </c>
      <c r="J48" s="295">
        <f>20169185-N48+2593499</f>
        <v>662285</v>
      </c>
      <c r="K48" s="295">
        <v>0</v>
      </c>
      <c r="L48" s="295">
        <f>M48+O48</f>
        <v>22209038</v>
      </c>
      <c r="M48" s="295">
        <v>22209038</v>
      </c>
      <c r="N48" s="295">
        <f>8638296+1524405+5495250+969750+2089698+3383000</f>
        <v>22100399</v>
      </c>
      <c r="O48" s="295">
        <v>0</v>
      </c>
      <c r="P48" s="296"/>
      <c r="Q48" s="296"/>
      <c r="R48" s="296"/>
      <c r="S48" s="296"/>
      <c r="T48" s="296"/>
    </row>
    <row r="49" spans="1:20" s="292" customFormat="1" ht="14.1" customHeight="1">
      <c r="A49" s="280" t="s">
        <v>345</v>
      </c>
      <c r="B49" s="281" t="s">
        <v>346</v>
      </c>
      <c r="C49" s="282">
        <f>C50</f>
        <v>300000</v>
      </c>
      <c r="D49" s="283">
        <f>D50</f>
        <v>300000</v>
      </c>
      <c r="E49" s="283">
        <f t="shared" ref="E49:O49" si="13">E50</f>
        <v>0</v>
      </c>
      <c r="F49" s="283">
        <f t="shared" si="13"/>
        <v>0</v>
      </c>
      <c r="G49" s="283">
        <f t="shared" si="13"/>
        <v>0</v>
      </c>
      <c r="H49" s="283">
        <f t="shared" si="13"/>
        <v>300000</v>
      </c>
      <c r="I49" s="283">
        <f t="shared" si="13"/>
        <v>0</v>
      </c>
      <c r="J49" s="283">
        <f t="shared" si="13"/>
        <v>0</v>
      </c>
      <c r="K49" s="283">
        <f t="shared" si="13"/>
        <v>0</v>
      </c>
      <c r="L49" s="283">
        <f t="shared" si="13"/>
        <v>0</v>
      </c>
      <c r="M49" s="283">
        <f t="shared" si="13"/>
        <v>0</v>
      </c>
      <c r="N49" s="283">
        <f t="shared" si="13"/>
        <v>0</v>
      </c>
      <c r="O49" s="283">
        <f t="shared" si="13"/>
        <v>0</v>
      </c>
      <c r="P49" s="291"/>
      <c r="Q49" s="291"/>
      <c r="R49" s="291"/>
      <c r="S49" s="291"/>
      <c r="T49" s="291"/>
    </row>
    <row r="50" spans="1:20" s="297" customFormat="1" ht="12.75" customHeight="1">
      <c r="A50" s="475" t="s">
        <v>347</v>
      </c>
      <c r="B50" s="476" t="s">
        <v>348</v>
      </c>
      <c r="C50" s="294">
        <f>D50+L50</f>
        <v>300000</v>
      </c>
      <c r="D50" s="295">
        <f>E50+H50+I50+J50+K50</f>
        <v>300000</v>
      </c>
      <c r="E50" s="295">
        <f>F50+G50</f>
        <v>0</v>
      </c>
      <c r="F50" s="295">
        <v>0</v>
      </c>
      <c r="G50" s="295">
        <v>0</v>
      </c>
      <c r="H50" s="295">
        <v>300000</v>
      </c>
      <c r="I50" s="295">
        <v>0</v>
      </c>
      <c r="J50" s="295">
        <v>0</v>
      </c>
      <c r="K50" s="295">
        <v>0</v>
      </c>
      <c r="L50" s="295">
        <f>M50+O50</f>
        <v>0</v>
      </c>
      <c r="M50" s="295">
        <v>0</v>
      </c>
      <c r="N50" s="295">
        <v>0</v>
      </c>
      <c r="O50" s="295">
        <v>0</v>
      </c>
      <c r="P50" s="296"/>
      <c r="Q50" s="296"/>
      <c r="R50" s="296"/>
      <c r="S50" s="296"/>
      <c r="T50" s="296"/>
    </row>
    <row r="51" spans="1:20" s="292" customFormat="1" ht="14.1" customHeight="1">
      <c r="A51" s="280" t="s">
        <v>29</v>
      </c>
      <c r="B51" s="281" t="s">
        <v>30</v>
      </c>
      <c r="C51" s="282">
        <f t="shared" ref="C51:O51" si="14">C52+C53+C54+C55+C57+C56</f>
        <v>211966948</v>
      </c>
      <c r="D51" s="283">
        <f t="shared" si="14"/>
        <v>203446948</v>
      </c>
      <c r="E51" s="283">
        <f t="shared" si="14"/>
        <v>134903201</v>
      </c>
      <c r="F51" s="283">
        <f t="shared" si="14"/>
        <v>78005655</v>
      </c>
      <c r="G51" s="283">
        <f t="shared" si="14"/>
        <v>56897546</v>
      </c>
      <c r="H51" s="283">
        <f t="shared" si="14"/>
        <v>140000</v>
      </c>
      <c r="I51" s="283">
        <f t="shared" si="14"/>
        <v>2172800</v>
      </c>
      <c r="J51" s="283">
        <f t="shared" si="14"/>
        <v>66230947</v>
      </c>
      <c r="K51" s="283">
        <f t="shared" si="14"/>
        <v>0</v>
      </c>
      <c r="L51" s="283">
        <f t="shared" si="14"/>
        <v>8520000</v>
      </c>
      <c r="M51" s="283">
        <f t="shared" si="14"/>
        <v>8520000</v>
      </c>
      <c r="N51" s="283">
        <f t="shared" si="14"/>
        <v>100000</v>
      </c>
      <c r="O51" s="283">
        <f t="shared" si="14"/>
        <v>0</v>
      </c>
      <c r="P51" s="291"/>
      <c r="Q51" s="291"/>
      <c r="R51" s="291"/>
      <c r="S51" s="291"/>
      <c r="T51" s="291"/>
    </row>
    <row r="52" spans="1:20" s="297" customFormat="1" ht="12.75" customHeight="1">
      <c r="A52" s="475" t="s">
        <v>349</v>
      </c>
      <c r="B52" s="476" t="s">
        <v>350</v>
      </c>
      <c r="C52" s="294">
        <f t="shared" ref="C52:C57" si="15">D52+L52</f>
        <v>2300000</v>
      </c>
      <c r="D52" s="295">
        <f t="shared" ref="D52:D57" si="16">E52+H52+I52+J52+K52</f>
        <v>2300000</v>
      </c>
      <c r="E52" s="295">
        <f t="shared" ref="E52:E57" si="17">F52+G52</f>
        <v>760000</v>
      </c>
      <c r="F52" s="295">
        <v>74500</v>
      </c>
      <c r="G52" s="295">
        <f>2300000-1614500</f>
        <v>685500</v>
      </c>
      <c r="H52" s="295">
        <v>0</v>
      </c>
      <c r="I52" s="295">
        <v>1540000</v>
      </c>
      <c r="J52" s="295">
        <v>0</v>
      </c>
      <c r="K52" s="295">
        <v>0</v>
      </c>
      <c r="L52" s="295">
        <f t="shared" ref="L52:L57" si="18">M52+O52</f>
        <v>0</v>
      </c>
      <c r="M52" s="295">
        <v>0</v>
      </c>
      <c r="N52" s="295">
        <v>0</v>
      </c>
      <c r="O52" s="295">
        <v>0</v>
      </c>
      <c r="P52" s="296"/>
      <c r="Q52" s="296"/>
      <c r="R52" s="296"/>
      <c r="S52" s="296"/>
      <c r="T52" s="296"/>
    </row>
    <row r="53" spans="1:20" s="297" customFormat="1" ht="12.75" customHeight="1">
      <c r="A53" s="475" t="s">
        <v>351</v>
      </c>
      <c r="B53" s="476" t="s">
        <v>73</v>
      </c>
      <c r="C53" s="294">
        <f t="shared" si="15"/>
        <v>171508579</v>
      </c>
      <c r="D53" s="295">
        <f t="shared" si="16"/>
        <v>162988579</v>
      </c>
      <c r="E53" s="295">
        <f t="shared" si="17"/>
        <v>100423131</v>
      </c>
      <c r="F53" s="295">
        <v>77211255</v>
      </c>
      <c r="G53" s="295">
        <f>171508579-148296703</f>
        <v>23211876</v>
      </c>
      <c r="H53" s="295">
        <v>0</v>
      </c>
      <c r="I53" s="295">
        <v>191800</v>
      </c>
      <c r="J53" s="295">
        <f>53102601-N53+9371047</f>
        <v>62373648</v>
      </c>
      <c r="K53" s="295">
        <v>0</v>
      </c>
      <c r="L53" s="295">
        <f t="shared" si="18"/>
        <v>8520000</v>
      </c>
      <c r="M53" s="295">
        <v>8520000</v>
      </c>
      <c r="N53" s="295">
        <f>85000+15000</f>
        <v>100000</v>
      </c>
      <c r="O53" s="295">
        <v>0</v>
      </c>
      <c r="P53" s="296"/>
      <c r="Q53" s="296"/>
      <c r="R53" s="296"/>
      <c r="S53" s="296"/>
      <c r="T53" s="296"/>
    </row>
    <row r="54" spans="1:20" s="272" customFormat="1" ht="27" customHeight="1">
      <c r="A54" s="268" t="s">
        <v>352</v>
      </c>
      <c r="B54" s="286" t="s">
        <v>353</v>
      </c>
      <c r="C54" s="270">
        <f t="shared" si="15"/>
        <v>710000</v>
      </c>
      <c r="D54" s="271">
        <f t="shared" si="16"/>
        <v>710000</v>
      </c>
      <c r="E54" s="271">
        <f t="shared" si="17"/>
        <v>710000</v>
      </c>
      <c r="F54" s="271">
        <v>3000</v>
      </c>
      <c r="G54" s="271">
        <f>710000-3000</f>
        <v>707000</v>
      </c>
      <c r="H54" s="271">
        <v>0</v>
      </c>
      <c r="I54" s="271">
        <v>0</v>
      </c>
      <c r="J54" s="271">
        <v>0</v>
      </c>
      <c r="K54" s="271">
        <v>0</v>
      </c>
      <c r="L54" s="271">
        <f t="shared" si="18"/>
        <v>0</v>
      </c>
      <c r="M54" s="271">
        <v>0</v>
      </c>
      <c r="N54" s="271">
        <v>0</v>
      </c>
      <c r="O54" s="271">
        <v>0</v>
      </c>
      <c r="P54" s="279"/>
      <c r="Q54" s="279"/>
      <c r="R54" s="279"/>
      <c r="S54" s="279"/>
      <c r="T54" s="279"/>
    </row>
    <row r="55" spans="1:20" s="297" customFormat="1" ht="12.75" customHeight="1">
      <c r="A55" s="475" t="s">
        <v>354</v>
      </c>
      <c r="B55" s="476" t="s">
        <v>355</v>
      </c>
      <c r="C55" s="294">
        <f t="shared" si="15"/>
        <v>26500000</v>
      </c>
      <c r="D55" s="295">
        <f t="shared" si="16"/>
        <v>26500000</v>
      </c>
      <c r="E55" s="295">
        <f t="shared" si="17"/>
        <v>26470000</v>
      </c>
      <c r="F55" s="295">
        <v>532000</v>
      </c>
      <c r="G55" s="295">
        <f>26500000-562000</f>
        <v>25938000</v>
      </c>
      <c r="H55" s="295">
        <v>0</v>
      </c>
      <c r="I55" s="295">
        <v>30000</v>
      </c>
      <c r="J55" s="295">
        <v>0</v>
      </c>
      <c r="K55" s="295">
        <v>0</v>
      </c>
      <c r="L55" s="295">
        <f t="shared" si="18"/>
        <v>0</v>
      </c>
      <c r="M55" s="295">
        <v>0</v>
      </c>
      <c r="N55" s="295">
        <v>0</v>
      </c>
      <c r="O55" s="295">
        <v>0</v>
      </c>
      <c r="P55" s="296"/>
      <c r="Q55" s="296"/>
      <c r="R55" s="296"/>
      <c r="S55" s="296"/>
      <c r="T55" s="296"/>
    </row>
    <row r="56" spans="1:20" s="272" customFormat="1" ht="27" customHeight="1">
      <c r="A56" s="268" t="s">
        <v>356</v>
      </c>
      <c r="B56" s="286" t="s">
        <v>357</v>
      </c>
      <c r="C56" s="270">
        <f t="shared" si="15"/>
        <v>202000</v>
      </c>
      <c r="D56" s="271">
        <f t="shared" si="16"/>
        <v>202000</v>
      </c>
      <c r="E56" s="271">
        <f t="shared" si="17"/>
        <v>198000</v>
      </c>
      <c r="F56" s="271">
        <v>141500</v>
      </c>
      <c r="G56" s="271">
        <f>202000-145500</f>
        <v>56500</v>
      </c>
      <c r="H56" s="271">
        <v>0</v>
      </c>
      <c r="I56" s="271">
        <v>4000</v>
      </c>
      <c r="J56" s="271">
        <v>0</v>
      </c>
      <c r="K56" s="271">
        <v>0</v>
      </c>
      <c r="L56" s="271">
        <f t="shared" si="18"/>
        <v>0</v>
      </c>
      <c r="M56" s="271">
        <v>0</v>
      </c>
      <c r="N56" s="271">
        <v>0</v>
      </c>
      <c r="O56" s="271">
        <v>0</v>
      </c>
      <c r="P56" s="279"/>
      <c r="Q56" s="279"/>
      <c r="R56" s="279"/>
      <c r="S56" s="279"/>
      <c r="T56" s="279"/>
    </row>
    <row r="57" spans="1:20" s="297" customFormat="1" ht="12.75" customHeight="1">
      <c r="A57" s="475" t="s">
        <v>358</v>
      </c>
      <c r="B57" s="476" t="s">
        <v>46</v>
      </c>
      <c r="C57" s="294">
        <f t="shared" si="15"/>
        <v>10746369</v>
      </c>
      <c r="D57" s="295">
        <f t="shared" si="16"/>
        <v>10746369</v>
      </c>
      <c r="E57" s="295">
        <f t="shared" si="17"/>
        <v>6342070</v>
      </c>
      <c r="F57" s="295">
        <v>43400</v>
      </c>
      <c r="G57" s="295">
        <f>10746369-4447699</f>
        <v>6298670</v>
      </c>
      <c r="H57" s="295">
        <v>140000</v>
      </c>
      <c r="I57" s="295">
        <v>407000</v>
      </c>
      <c r="J57" s="295">
        <f>3540775+316524</f>
        <v>3857299</v>
      </c>
      <c r="K57" s="295">
        <v>0</v>
      </c>
      <c r="L57" s="295">
        <f t="shared" si="18"/>
        <v>0</v>
      </c>
      <c r="M57" s="295">
        <v>0</v>
      </c>
      <c r="N57" s="295">
        <v>0</v>
      </c>
      <c r="O57" s="295">
        <v>0</v>
      </c>
      <c r="P57" s="296"/>
      <c r="Q57" s="296"/>
      <c r="R57" s="296"/>
      <c r="S57" s="296"/>
      <c r="T57" s="296"/>
    </row>
    <row r="58" spans="1:20" s="292" customFormat="1" ht="14.1" customHeight="1">
      <c r="A58" s="280" t="s">
        <v>31</v>
      </c>
      <c r="B58" s="281" t="s">
        <v>32</v>
      </c>
      <c r="C58" s="282">
        <f t="shared" ref="C58:O58" si="19">C59</f>
        <v>5000</v>
      </c>
      <c r="D58" s="283">
        <f t="shared" si="19"/>
        <v>5000</v>
      </c>
      <c r="E58" s="283">
        <f t="shared" si="19"/>
        <v>5000</v>
      </c>
      <c r="F58" s="283">
        <f t="shared" si="19"/>
        <v>0</v>
      </c>
      <c r="G58" s="283">
        <f t="shared" si="19"/>
        <v>5000</v>
      </c>
      <c r="H58" s="283">
        <f t="shared" si="19"/>
        <v>0</v>
      </c>
      <c r="I58" s="283">
        <f t="shared" si="19"/>
        <v>0</v>
      </c>
      <c r="J58" s="283">
        <f t="shared" si="19"/>
        <v>0</v>
      </c>
      <c r="K58" s="283">
        <f t="shared" si="19"/>
        <v>0</v>
      </c>
      <c r="L58" s="283">
        <f t="shared" si="19"/>
        <v>0</v>
      </c>
      <c r="M58" s="283">
        <f t="shared" si="19"/>
        <v>0</v>
      </c>
      <c r="N58" s="283">
        <f>N59</f>
        <v>0</v>
      </c>
      <c r="O58" s="283">
        <f t="shared" si="19"/>
        <v>0</v>
      </c>
      <c r="P58" s="291"/>
      <c r="Q58" s="291"/>
      <c r="R58" s="291"/>
      <c r="S58" s="291"/>
      <c r="T58" s="291"/>
    </row>
    <row r="59" spans="1:20" s="297" customFormat="1" ht="12.75" customHeight="1">
      <c r="A59" s="475" t="s">
        <v>359</v>
      </c>
      <c r="B59" s="476" t="s">
        <v>59</v>
      </c>
      <c r="C59" s="294">
        <f>D59+L59</f>
        <v>5000</v>
      </c>
      <c r="D59" s="295">
        <f>E59+H59+I59+J59+K59</f>
        <v>5000</v>
      </c>
      <c r="E59" s="295">
        <f>F59+G59</f>
        <v>5000</v>
      </c>
      <c r="F59" s="295">
        <v>0</v>
      </c>
      <c r="G59" s="295">
        <v>5000</v>
      </c>
      <c r="H59" s="295">
        <v>0</v>
      </c>
      <c r="I59" s="295">
        <v>0</v>
      </c>
      <c r="J59" s="295">
        <v>0</v>
      </c>
      <c r="K59" s="295">
        <v>0</v>
      </c>
      <c r="L59" s="295">
        <f>M59+O59</f>
        <v>0</v>
      </c>
      <c r="M59" s="295">
        <v>0</v>
      </c>
      <c r="N59" s="295">
        <v>0</v>
      </c>
      <c r="O59" s="295">
        <v>0</v>
      </c>
      <c r="P59" s="296"/>
      <c r="Q59" s="296"/>
      <c r="R59" s="296"/>
      <c r="S59" s="296"/>
      <c r="T59" s="296"/>
    </row>
    <row r="60" spans="1:20" s="473" customFormat="1" ht="30">
      <c r="A60" s="469" t="s">
        <v>360</v>
      </c>
      <c r="B60" s="470" t="s">
        <v>361</v>
      </c>
      <c r="C60" s="471">
        <f>C61</f>
        <v>240000</v>
      </c>
      <c r="D60" s="299">
        <f>D61</f>
        <v>240000</v>
      </c>
      <c r="E60" s="299">
        <f t="shared" ref="E60:O60" si="20">E61</f>
        <v>240000</v>
      </c>
      <c r="F60" s="299">
        <f t="shared" si="20"/>
        <v>0</v>
      </c>
      <c r="G60" s="299">
        <f t="shared" si="20"/>
        <v>240000</v>
      </c>
      <c r="H60" s="299">
        <f t="shared" si="20"/>
        <v>0</v>
      </c>
      <c r="I60" s="299">
        <f t="shared" si="20"/>
        <v>0</v>
      </c>
      <c r="J60" s="299">
        <f t="shared" si="20"/>
        <v>0</v>
      </c>
      <c r="K60" s="299">
        <f t="shared" si="20"/>
        <v>0</v>
      </c>
      <c r="L60" s="299">
        <f t="shared" si="20"/>
        <v>0</v>
      </c>
      <c r="M60" s="299">
        <f t="shared" si="20"/>
        <v>0</v>
      </c>
      <c r="N60" s="299">
        <f t="shared" si="20"/>
        <v>0</v>
      </c>
      <c r="O60" s="299">
        <f t="shared" si="20"/>
        <v>0</v>
      </c>
      <c r="P60" s="472"/>
      <c r="Q60" s="472"/>
      <c r="R60" s="472"/>
      <c r="S60" s="472"/>
      <c r="T60" s="472"/>
    </row>
    <row r="61" spans="1:20" s="297" customFormat="1" ht="12.75" customHeight="1">
      <c r="A61" s="475" t="s">
        <v>362</v>
      </c>
      <c r="B61" s="476" t="s">
        <v>46</v>
      </c>
      <c r="C61" s="294">
        <f>D61+L61</f>
        <v>240000</v>
      </c>
      <c r="D61" s="295">
        <f>E61+H61+I61+J61+K61</f>
        <v>240000</v>
      </c>
      <c r="E61" s="295">
        <f>F61+G61</f>
        <v>240000</v>
      </c>
      <c r="F61" s="295">
        <v>0</v>
      </c>
      <c r="G61" s="295">
        <v>240000</v>
      </c>
      <c r="H61" s="295">
        <v>0</v>
      </c>
      <c r="I61" s="295">
        <v>0</v>
      </c>
      <c r="J61" s="295">
        <v>0</v>
      </c>
      <c r="K61" s="295">
        <v>0</v>
      </c>
      <c r="L61" s="295">
        <f>M61+O61</f>
        <v>0</v>
      </c>
      <c r="M61" s="295">
        <v>0</v>
      </c>
      <c r="N61" s="295">
        <v>0</v>
      </c>
      <c r="O61" s="295">
        <v>0</v>
      </c>
      <c r="P61" s="296"/>
      <c r="Q61" s="296"/>
      <c r="R61" s="296"/>
      <c r="S61" s="296"/>
      <c r="T61" s="296"/>
    </row>
    <row r="62" spans="1:20" s="292" customFormat="1" ht="14.1" customHeight="1">
      <c r="A62" s="280" t="s">
        <v>363</v>
      </c>
      <c r="B62" s="281" t="s">
        <v>364</v>
      </c>
      <c r="C62" s="282">
        <f t="shared" ref="C62:O62" si="21">C63+C64</f>
        <v>71633158</v>
      </c>
      <c r="D62" s="283">
        <f t="shared" si="21"/>
        <v>71633158</v>
      </c>
      <c r="E62" s="283">
        <f t="shared" si="21"/>
        <v>0</v>
      </c>
      <c r="F62" s="283">
        <f t="shared" si="21"/>
        <v>0</v>
      </c>
      <c r="G62" s="283">
        <f t="shared" si="21"/>
        <v>0</v>
      </c>
      <c r="H62" s="283">
        <f t="shared" si="21"/>
        <v>0</v>
      </c>
      <c r="I62" s="283">
        <f t="shared" si="21"/>
        <v>0</v>
      </c>
      <c r="J62" s="283">
        <f t="shared" si="21"/>
        <v>0</v>
      </c>
      <c r="K62" s="283">
        <f t="shared" si="21"/>
        <v>71633158</v>
      </c>
      <c r="L62" s="283">
        <f t="shared" si="21"/>
        <v>0</v>
      </c>
      <c r="M62" s="283">
        <f t="shared" si="21"/>
        <v>0</v>
      </c>
      <c r="N62" s="283">
        <f t="shared" si="21"/>
        <v>0</v>
      </c>
      <c r="O62" s="283">
        <f t="shared" si="21"/>
        <v>0</v>
      </c>
      <c r="P62" s="291"/>
      <c r="Q62" s="291"/>
      <c r="R62" s="291"/>
      <c r="S62" s="291"/>
      <c r="T62" s="291"/>
    </row>
    <row r="63" spans="1:20" s="272" customFormat="1" ht="54" customHeight="1">
      <c r="A63" s="268" t="s">
        <v>365</v>
      </c>
      <c r="B63" s="286" t="s">
        <v>366</v>
      </c>
      <c r="C63" s="270">
        <f>D63+L63</f>
        <v>14724772</v>
      </c>
      <c r="D63" s="271">
        <f>E63+H63+I63+J63+K63</f>
        <v>14724772</v>
      </c>
      <c r="E63" s="271">
        <f>F63+G63</f>
        <v>0</v>
      </c>
      <c r="F63" s="271">
        <v>0</v>
      </c>
      <c r="G63" s="271">
        <v>0</v>
      </c>
      <c r="H63" s="271">
        <v>0</v>
      </c>
      <c r="I63" s="271">
        <v>0</v>
      </c>
      <c r="J63" s="271">
        <v>0</v>
      </c>
      <c r="K63" s="271">
        <v>14724772</v>
      </c>
      <c r="L63" s="271">
        <f>M63+O63</f>
        <v>0</v>
      </c>
      <c r="M63" s="271">
        <v>0</v>
      </c>
      <c r="N63" s="271">
        <v>0</v>
      </c>
      <c r="O63" s="271">
        <v>0</v>
      </c>
      <c r="P63" s="279"/>
      <c r="Q63" s="279"/>
      <c r="R63" s="279"/>
      <c r="S63" s="279"/>
      <c r="T63" s="279"/>
    </row>
    <row r="64" spans="1:20" s="272" customFormat="1" ht="41.1" customHeight="1">
      <c r="A64" s="268" t="s">
        <v>367</v>
      </c>
      <c r="B64" s="286" t="s">
        <v>368</v>
      </c>
      <c r="C64" s="270">
        <f>D64+L64</f>
        <v>56908386</v>
      </c>
      <c r="D64" s="271">
        <f>E64+H64+I64+J64+K64</f>
        <v>56908386</v>
      </c>
      <c r="E64" s="271">
        <f>F64+G64</f>
        <v>0</v>
      </c>
      <c r="F64" s="271">
        <v>0</v>
      </c>
      <c r="G64" s="271">
        <v>0</v>
      </c>
      <c r="H64" s="271">
        <v>0</v>
      </c>
      <c r="I64" s="271">
        <v>0</v>
      </c>
      <c r="J64" s="271">
        <v>0</v>
      </c>
      <c r="K64" s="271">
        <v>56908386</v>
      </c>
      <c r="L64" s="271">
        <f>M64+O64</f>
        <v>0</v>
      </c>
      <c r="M64" s="271">
        <v>0</v>
      </c>
      <c r="N64" s="271">
        <v>0</v>
      </c>
      <c r="O64" s="271">
        <v>0</v>
      </c>
      <c r="P64" s="279"/>
      <c r="Q64" s="279"/>
      <c r="R64" s="279"/>
      <c r="S64" s="279"/>
      <c r="T64" s="279"/>
    </row>
    <row r="65" spans="1:20" s="292" customFormat="1" ht="14.1" customHeight="1">
      <c r="A65" s="280" t="s">
        <v>74</v>
      </c>
      <c r="B65" s="281" t="s">
        <v>75</v>
      </c>
      <c r="C65" s="282">
        <f>C66</f>
        <v>68200000</v>
      </c>
      <c r="D65" s="283">
        <f t="shared" ref="D65:O65" si="22">D66</f>
        <v>55200000</v>
      </c>
      <c r="E65" s="283">
        <f t="shared" si="22"/>
        <v>55200000</v>
      </c>
      <c r="F65" s="283">
        <f t="shared" si="22"/>
        <v>0</v>
      </c>
      <c r="G65" s="283">
        <f t="shared" si="22"/>
        <v>55200000</v>
      </c>
      <c r="H65" s="283">
        <f t="shared" si="22"/>
        <v>0</v>
      </c>
      <c r="I65" s="283">
        <f t="shared" si="22"/>
        <v>0</v>
      </c>
      <c r="J65" s="283">
        <f t="shared" si="22"/>
        <v>0</v>
      </c>
      <c r="K65" s="283">
        <f t="shared" si="22"/>
        <v>0</v>
      </c>
      <c r="L65" s="283">
        <f t="shared" si="22"/>
        <v>13000000</v>
      </c>
      <c r="M65" s="283">
        <f t="shared" si="22"/>
        <v>13000000</v>
      </c>
      <c r="N65" s="283">
        <f t="shared" si="22"/>
        <v>0</v>
      </c>
      <c r="O65" s="283">
        <f t="shared" si="22"/>
        <v>0</v>
      </c>
      <c r="P65" s="291"/>
      <c r="Q65" s="291"/>
      <c r="R65" s="291"/>
      <c r="S65" s="291"/>
      <c r="T65" s="291"/>
    </row>
    <row r="66" spans="1:20" s="297" customFormat="1" ht="12.75" customHeight="1">
      <c r="A66" s="475" t="s">
        <v>369</v>
      </c>
      <c r="B66" s="476" t="s">
        <v>370</v>
      </c>
      <c r="C66" s="294">
        <f>D66+L66</f>
        <v>68200000</v>
      </c>
      <c r="D66" s="295">
        <f>E66+H66+I66+J66+K66</f>
        <v>55200000</v>
      </c>
      <c r="E66" s="295">
        <f>F66+G66</f>
        <v>55200000</v>
      </c>
      <c r="F66" s="295">
        <v>0</v>
      </c>
      <c r="G66" s="295">
        <v>55200000</v>
      </c>
      <c r="H66" s="295">
        <v>0</v>
      </c>
      <c r="I66" s="295">
        <v>0</v>
      </c>
      <c r="J66" s="295">
        <v>0</v>
      </c>
      <c r="K66" s="295">
        <v>0</v>
      </c>
      <c r="L66" s="295">
        <f>M66+O66</f>
        <v>13000000</v>
      </c>
      <c r="M66" s="295">
        <v>13000000</v>
      </c>
      <c r="N66" s="295">
        <v>0</v>
      </c>
      <c r="O66" s="295">
        <v>0</v>
      </c>
      <c r="P66" s="296"/>
      <c r="Q66" s="296"/>
      <c r="R66" s="296"/>
      <c r="S66" s="296"/>
      <c r="T66" s="296"/>
    </row>
    <row r="67" spans="1:20" s="292" customFormat="1" ht="14.1" customHeight="1">
      <c r="A67" s="280" t="s">
        <v>33</v>
      </c>
      <c r="B67" s="281" t="s">
        <v>34</v>
      </c>
      <c r="C67" s="282">
        <f>C68+C70+C71+C72+C73+C74+C75+C76+C77+C78+C79+C69</f>
        <v>121094056</v>
      </c>
      <c r="D67" s="283">
        <f>D68+D70+D71+D72+D73+D74+D75+D76+D77+D78+D79+D69</f>
        <v>118446099</v>
      </c>
      <c r="E67" s="283">
        <f t="shared" ref="E67:O67" si="23">E68+E70+E71+E72+E73+E74+E75+E76+E77+E78+E79+E69</f>
        <v>117409195</v>
      </c>
      <c r="F67" s="283">
        <f t="shared" si="23"/>
        <v>95060303</v>
      </c>
      <c r="G67" s="283">
        <f t="shared" si="23"/>
        <v>22348892</v>
      </c>
      <c r="H67" s="283">
        <f t="shared" si="23"/>
        <v>0</v>
      </c>
      <c r="I67" s="283">
        <f t="shared" si="23"/>
        <v>189539</v>
      </c>
      <c r="J67" s="283">
        <f t="shared" si="23"/>
        <v>847365</v>
      </c>
      <c r="K67" s="283">
        <f t="shared" si="23"/>
        <v>0</v>
      </c>
      <c r="L67" s="283">
        <f t="shared" si="23"/>
        <v>2647957</v>
      </c>
      <c r="M67" s="283">
        <f t="shared" si="23"/>
        <v>2647957</v>
      </c>
      <c r="N67" s="283">
        <f t="shared" si="23"/>
        <v>519340</v>
      </c>
      <c r="O67" s="283">
        <f t="shared" si="23"/>
        <v>0</v>
      </c>
      <c r="P67" s="291"/>
      <c r="Q67" s="291"/>
      <c r="R67" s="291"/>
      <c r="S67" s="291"/>
      <c r="T67" s="291"/>
    </row>
    <row r="68" spans="1:20" s="297" customFormat="1" ht="12.75" customHeight="1">
      <c r="A68" s="475" t="s">
        <v>371</v>
      </c>
      <c r="B68" s="476" t="s">
        <v>76</v>
      </c>
      <c r="C68" s="294">
        <f t="shared" ref="C68:C78" si="24">D68+L68</f>
        <v>32542162</v>
      </c>
      <c r="D68" s="295">
        <f t="shared" ref="D68:D79" si="25">E68+H68+I68+J68+K68</f>
        <v>32542162</v>
      </c>
      <c r="E68" s="295">
        <f t="shared" ref="E68:E79" si="26">F68+G68</f>
        <v>32514606</v>
      </c>
      <c r="F68" s="295">
        <v>30566025</v>
      </c>
      <c r="G68" s="295">
        <f>32542162-30593581</f>
        <v>1948581</v>
      </c>
      <c r="H68" s="295">
        <v>0</v>
      </c>
      <c r="I68" s="295">
        <v>27556</v>
      </c>
      <c r="J68" s="295">
        <v>0</v>
      </c>
      <c r="K68" s="295">
        <v>0</v>
      </c>
      <c r="L68" s="295">
        <f t="shared" ref="L68:L79" si="27">M68+O68</f>
        <v>0</v>
      </c>
      <c r="M68" s="295">
        <v>0</v>
      </c>
      <c r="N68" s="295">
        <v>0</v>
      </c>
      <c r="O68" s="295">
        <v>0</v>
      </c>
      <c r="P68" s="296"/>
      <c r="Q68" s="296"/>
      <c r="R68" s="296"/>
      <c r="S68" s="296"/>
      <c r="T68" s="296"/>
    </row>
    <row r="69" spans="1:20" s="297" customFormat="1" ht="12.75" customHeight="1">
      <c r="A69" s="475">
        <v>80104</v>
      </c>
      <c r="B69" s="476" t="s">
        <v>372</v>
      </c>
      <c r="C69" s="294">
        <f t="shared" si="24"/>
        <v>292784</v>
      </c>
      <c r="D69" s="295">
        <f>E69+H69+I69+J69+K69</f>
        <v>170710</v>
      </c>
      <c r="E69" s="295">
        <f>F69+G69</f>
        <v>0</v>
      </c>
      <c r="F69" s="295">
        <v>0</v>
      </c>
      <c r="G69" s="295">
        <v>0</v>
      </c>
      <c r="H69" s="295">
        <v>0</v>
      </c>
      <c r="I69" s="295">
        <v>0</v>
      </c>
      <c r="J69" s="295">
        <f>292784-N69</f>
        <v>170710</v>
      </c>
      <c r="K69" s="295">
        <v>0</v>
      </c>
      <c r="L69" s="295">
        <f t="shared" si="27"/>
        <v>122074</v>
      </c>
      <c r="M69" s="295">
        <v>122074</v>
      </c>
      <c r="N69" s="295">
        <v>122074</v>
      </c>
      <c r="O69" s="295">
        <v>0</v>
      </c>
      <c r="P69" s="296"/>
      <c r="Q69" s="296"/>
      <c r="R69" s="296"/>
      <c r="S69" s="296"/>
      <c r="T69" s="296"/>
    </row>
    <row r="70" spans="1:20" s="297" customFormat="1" ht="12.75" customHeight="1">
      <c r="A70" s="475" t="s">
        <v>373</v>
      </c>
      <c r="B70" s="476" t="s">
        <v>374</v>
      </c>
      <c r="C70" s="294">
        <f t="shared" si="24"/>
        <v>411195</v>
      </c>
      <c r="D70" s="295">
        <f t="shared" si="25"/>
        <v>411195</v>
      </c>
      <c r="E70" s="295">
        <f t="shared" si="26"/>
        <v>409408</v>
      </c>
      <c r="F70" s="295">
        <v>392328</v>
      </c>
      <c r="G70" s="295">
        <f>411195-394115</f>
        <v>17080</v>
      </c>
      <c r="H70" s="295">
        <v>0</v>
      </c>
      <c r="I70" s="295">
        <v>1787</v>
      </c>
      <c r="J70" s="295">
        <v>0</v>
      </c>
      <c r="K70" s="295">
        <v>0</v>
      </c>
      <c r="L70" s="295">
        <f t="shared" si="27"/>
        <v>0</v>
      </c>
      <c r="M70" s="295">
        <v>0</v>
      </c>
      <c r="N70" s="295">
        <v>0</v>
      </c>
      <c r="O70" s="295">
        <v>0</v>
      </c>
      <c r="P70" s="296"/>
      <c r="Q70" s="296"/>
      <c r="R70" s="296"/>
      <c r="S70" s="296"/>
      <c r="T70" s="296"/>
    </row>
    <row r="71" spans="1:20" s="297" customFormat="1" ht="12.75" customHeight="1">
      <c r="A71" s="475" t="s">
        <v>375</v>
      </c>
      <c r="B71" s="476" t="s">
        <v>376</v>
      </c>
      <c r="C71" s="294">
        <f t="shared" si="24"/>
        <v>16500</v>
      </c>
      <c r="D71" s="295">
        <f t="shared" si="25"/>
        <v>16500</v>
      </c>
      <c r="E71" s="295">
        <f t="shared" si="26"/>
        <v>16500</v>
      </c>
      <c r="F71" s="295">
        <v>0</v>
      </c>
      <c r="G71" s="295">
        <v>16500</v>
      </c>
      <c r="H71" s="295">
        <v>0</v>
      </c>
      <c r="I71" s="295">
        <v>0</v>
      </c>
      <c r="J71" s="295">
        <v>0</v>
      </c>
      <c r="K71" s="295">
        <v>0</v>
      </c>
      <c r="L71" s="295">
        <f t="shared" si="27"/>
        <v>0</v>
      </c>
      <c r="M71" s="295">
        <v>0</v>
      </c>
      <c r="N71" s="295">
        <v>0</v>
      </c>
      <c r="O71" s="295">
        <v>0</v>
      </c>
      <c r="P71" s="296"/>
      <c r="Q71" s="296"/>
      <c r="R71" s="296"/>
      <c r="S71" s="296"/>
      <c r="T71" s="296"/>
    </row>
    <row r="72" spans="1:20" s="297" customFormat="1" ht="12.75" customHeight="1">
      <c r="A72" s="475" t="s">
        <v>377</v>
      </c>
      <c r="B72" s="476" t="s">
        <v>77</v>
      </c>
      <c r="C72" s="294">
        <f t="shared" si="24"/>
        <v>9943107</v>
      </c>
      <c r="D72" s="295">
        <f t="shared" si="25"/>
        <v>9943107</v>
      </c>
      <c r="E72" s="295">
        <f t="shared" si="26"/>
        <v>9926107</v>
      </c>
      <c r="F72" s="295">
        <v>8134605</v>
      </c>
      <c r="G72" s="295">
        <f>9943107-8151605</f>
        <v>1791502</v>
      </c>
      <c r="H72" s="295">
        <v>0</v>
      </c>
      <c r="I72" s="295">
        <v>17000</v>
      </c>
      <c r="J72" s="295">
        <v>0</v>
      </c>
      <c r="K72" s="295">
        <v>0</v>
      </c>
      <c r="L72" s="295">
        <f t="shared" si="27"/>
        <v>0</v>
      </c>
      <c r="M72" s="295">
        <v>0</v>
      </c>
      <c r="N72" s="295">
        <v>0</v>
      </c>
      <c r="O72" s="295">
        <v>0</v>
      </c>
      <c r="P72" s="296"/>
      <c r="Q72" s="296"/>
      <c r="R72" s="296"/>
      <c r="S72" s="296"/>
      <c r="T72" s="296"/>
    </row>
    <row r="73" spans="1:20" s="297" customFormat="1" ht="12.75" customHeight="1">
      <c r="A73" s="475" t="s">
        <v>378</v>
      </c>
      <c r="B73" s="476" t="s">
        <v>78</v>
      </c>
      <c r="C73" s="294">
        <f t="shared" si="24"/>
        <v>5635663</v>
      </c>
      <c r="D73" s="295">
        <f t="shared" si="25"/>
        <v>5635663</v>
      </c>
      <c r="E73" s="295">
        <f t="shared" si="26"/>
        <v>5626767</v>
      </c>
      <c r="F73" s="295">
        <v>5281337</v>
      </c>
      <c r="G73" s="295">
        <f>5635663-5290233</f>
        <v>345430</v>
      </c>
      <c r="H73" s="295">
        <v>0</v>
      </c>
      <c r="I73" s="295">
        <v>8896</v>
      </c>
      <c r="J73" s="295">
        <v>0</v>
      </c>
      <c r="K73" s="295">
        <v>0</v>
      </c>
      <c r="L73" s="295">
        <f t="shared" si="27"/>
        <v>0</v>
      </c>
      <c r="M73" s="295">
        <v>0</v>
      </c>
      <c r="N73" s="295">
        <v>0</v>
      </c>
      <c r="O73" s="295">
        <v>0</v>
      </c>
      <c r="P73" s="296"/>
      <c r="Q73" s="296"/>
      <c r="R73" s="296"/>
      <c r="S73" s="296"/>
      <c r="T73" s="296"/>
    </row>
    <row r="74" spans="1:20" s="297" customFormat="1" ht="12.75" customHeight="1">
      <c r="A74" s="475" t="s">
        <v>379</v>
      </c>
      <c r="B74" s="476" t="s">
        <v>79</v>
      </c>
      <c r="C74" s="294">
        <f t="shared" si="24"/>
        <v>24415128</v>
      </c>
      <c r="D74" s="295">
        <f t="shared" si="25"/>
        <v>24415128</v>
      </c>
      <c r="E74" s="295">
        <f t="shared" si="26"/>
        <v>24401678</v>
      </c>
      <c r="F74" s="295">
        <v>22483187</v>
      </c>
      <c r="G74" s="295">
        <f>24415128-22496637</f>
        <v>1918491</v>
      </c>
      <c r="H74" s="295">
        <v>0</v>
      </c>
      <c r="I74" s="295">
        <v>13450</v>
      </c>
      <c r="J74" s="295">
        <v>0</v>
      </c>
      <c r="K74" s="295">
        <v>0</v>
      </c>
      <c r="L74" s="295">
        <f t="shared" si="27"/>
        <v>0</v>
      </c>
      <c r="M74" s="295">
        <v>0</v>
      </c>
      <c r="N74" s="295">
        <v>0</v>
      </c>
      <c r="O74" s="295">
        <v>0</v>
      </c>
      <c r="P74" s="296"/>
      <c r="Q74" s="296"/>
      <c r="R74" s="296"/>
      <c r="S74" s="296"/>
      <c r="T74" s="296"/>
    </row>
    <row r="75" spans="1:20" s="272" customFormat="1" ht="27" customHeight="1">
      <c r="A75" s="268" t="s">
        <v>380</v>
      </c>
      <c r="B75" s="286" t="s">
        <v>80</v>
      </c>
      <c r="C75" s="270">
        <f t="shared" si="24"/>
        <v>3848964</v>
      </c>
      <c r="D75" s="271">
        <f t="shared" si="25"/>
        <v>3848964</v>
      </c>
      <c r="E75" s="271">
        <f t="shared" si="26"/>
        <v>3846964</v>
      </c>
      <c r="F75" s="271">
        <v>3484879</v>
      </c>
      <c r="G75" s="271">
        <f>3848964-3486879</f>
        <v>362085</v>
      </c>
      <c r="H75" s="271">
        <v>0</v>
      </c>
      <c r="I75" s="271">
        <v>2000</v>
      </c>
      <c r="J75" s="271">
        <v>0</v>
      </c>
      <c r="K75" s="271">
        <v>0</v>
      </c>
      <c r="L75" s="271">
        <f t="shared" si="27"/>
        <v>0</v>
      </c>
      <c r="M75" s="271">
        <v>0</v>
      </c>
      <c r="N75" s="271">
        <v>0</v>
      </c>
      <c r="O75" s="271">
        <v>0</v>
      </c>
      <c r="P75" s="279"/>
      <c r="Q75" s="279"/>
      <c r="R75" s="279"/>
      <c r="S75" s="279"/>
      <c r="T75" s="279"/>
    </row>
    <row r="76" spans="1:20" s="297" customFormat="1" ht="12.75" customHeight="1">
      <c r="A76" s="475" t="s">
        <v>381</v>
      </c>
      <c r="B76" s="476" t="s">
        <v>81</v>
      </c>
      <c r="C76" s="294">
        <f t="shared" si="24"/>
        <v>15631571</v>
      </c>
      <c r="D76" s="295">
        <f t="shared" si="25"/>
        <v>13631571</v>
      </c>
      <c r="E76" s="295">
        <f t="shared" si="26"/>
        <v>13621071</v>
      </c>
      <c r="F76" s="295">
        <v>11238767</v>
      </c>
      <c r="G76" s="295">
        <f>15631571-13249267</f>
        <v>2382304</v>
      </c>
      <c r="H76" s="295">
        <v>0</v>
      </c>
      <c r="I76" s="295">
        <v>10500</v>
      </c>
      <c r="J76" s="295">
        <v>0</v>
      </c>
      <c r="K76" s="295">
        <v>0</v>
      </c>
      <c r="L76" s="295">
        <f t="shared" si="27"/>
        <v>2000000</v>
      </c>
      <c r="M76" s="295">
        <v>2000000</v>
      </c>
      <c r="N76" s="295">
        <v>0</v>
      </c>
      <c r="O76" s="295">
        <v>0</v>
      </c>
      <c r="P76" s="296"/>
      <c r="Q76" s="296"/>
      <c r="R76" s="296"/>
      <c r="S76" s="296"/>
      <c r="T76" s="296"/>
    </row>
    <row r="77" spans="1:20" s="297" customFormat="1" ht="12.75" customHeight="1">
      <c r="A77" s="475" t="s">
        <v>382</v>
      </c>
      <c r="B77" s="476" t="s">
        <v>82</v>
      </c>
      <c r="C77" s="294">
        <f t="shared" si="24"/>
        <v>11011658</v>
      </c>
      <c r="D77" s="295">
        <f t="shared" si="25"/>
        <v>10968658</v>
      </c>
      <c r="E77" s="295">
        <f t="shared" si="26"/>
        <v>10960308</v>
      </c>
      <c r="F77" s="295">
        <v>8633967</v>
      </c>
      <c r="G77" s="295">
        <f>11011658-8685317</f>
        <v>2326341</v>
      </c>
      <c r="H77" s="295">
        <v>0</v>
      </c>
      <c r="I77" s="295">
        <v>8350</v>
      </c>
      <c r="J77" s="295">
        <v>0</v>
      </c>
      <c r="K77" s="295">
        <v>0</v>
      </c>
      <c r="L77" s="295">
        <f t="shared" si="27"/>
        <v>43000</v>
      </c>
      <c r="M77" s="295">
        <v>43000</v>
      </c>
      <c r="N77" s="295">
        <v>0</v>
      </c>
      <c r="O77" s="295">
        <v>0</v>
      </c>
      <c r="P77" s="296"/>
      <c r="Q77" s="296"/>
      <c r="R77" s="296"/>
      <c r="S77" s="296"/>
      <c r="T77" s="296"/>
    </row>
    <row r="78" spans="1:20" s="272" customFormat="1" ht="69" customHeight="1">
      <c r="A78" s="268" t="s">
        <v>383</v>
      </c>
      <c r="B78" s="286" t="s">
        <v>384</v>
      </c>
      <c r="C78" s="270">
        <f t="shared" si="24"/>
        <v>4088039</v>
      </c>
      <c r="D78" s="271">
        <f t="shared" si="25"/>
        <v>4076039</v>
      </c>
      <c r="E78" s="271">
        <f t="shared" si="26"/>
        <v>4076039</v>
      </c>
      <c r="F78" s="271">
        <v>3780684</v>
      </c>
      <c r="G78" s="271">
        <f>4088039-3792684</f>
        <v>295355</v>
      </c>
      <c r="H78" s="271">
        <v>0</v>
      </c>
      <c r="I78" s="271">
        <v>0</v>
      </c>
      <c r="J78" s="271">
        <v>0</v>
      </c>
      <c r="K78" s="271">
        <v>0</v>
      </c>
      <c r="L78" s="271">
        <f t="shared" si="27"/>
        <v>12000</v>
      </c>
      <c r="M78" s="271">
        <v>12000</v>
      </c>
      <c r="N78" s="271">
        <v>0</v>
      </c>
      <c r="O78" s="271">
        <v>0</v>
      </c>
      <c r="P78" s="279"/>
      <c r="Q78" s="279"/>
      <c r="R78" s="279"/>
      <c r="S78" s="279"/>
      <c r="T78" s="279"/>
    </row>
    <row r="79" spans="1:20" s="297" customFormat="1" ht="12.75" customHeight="1">
      <c r="A79" s="475" t="s">
        <v>385</v>
      </c>
      <c r="B79" s="476" t="s">
        <v>46</v>
      </c>
      <c r="C79" s="294">
        <f>D79+L79</f>
        <v>13257285</v>
      </c>
      <c r="D79" s="295">
        <f t="shared" si="25"/>
        <v>12786402</v>
      </c>
      <c r="E79" s="295">
        <f t="shared" si="26"/>
        <v>12009747</v>
      </c>
      <c r="F79" s="295">
        <v>1064524</v>
      </c>
      <c r="G79" s="295">
        <f>13257285-2312062</f>
        <v>10945223</v>
      </c>
      <c r="H79" s="295">
        <v>0</v>
      </c>
      <c r="I79" s="295">
        <v>100000</v>
      </c>
      <c r="J79" s="295">
        <f>1073921-N79</f>
        <v>676655</v>
      </c>
      <c r="K79" s="295">
        <v>0</v>
      </c>
      <c r="L79" s="295">
        <f t="shared" si="27"/>
        <v>470883</v>
      </c>
      <c r="M79" s="295">
        <v>470883</v>
      </c>
      <c r="N79" s="295">
        <v>397266</v>
      </c>
      <c r="O79" s="295">
        <v>0</v>
      </c>
      <c r="P79" s="296"/>
      <c r="Q79" s="296"/>
      <c r="R79" s="296"/>
      <c r="S79" s="296"/>
      <c r="T79" s="296"/>
    </row>
    <row r="80" spans="1:20" s="292" customFormat="1" ht="14.1" customHeight="1">
      <c r="A80" s="280" t="s">
        <v>35</v>
      </c>
      <c r="B80" s="281" t="s">
        <v>36</v>
      </c>
      <c r="C80" s="293">
        <f>C81+C82+C83+C84+C85+C87+C86</f>
        <v>105021051</v>
      </c>
      <c r="D80" s="283">
        <f>D81+D82+D83+D84+D85+D87+D86</f>
        <v>38832973</v>
      </c>
      <c r="E80" s="283">
        <f t="shared" ref="E80:O80" si="28">E81+E82+E83+E84+E85+E87+E86</f>
        <v>31251000</v>
      </c>
      <c r="F80" s="283">
        <f t="shared" si="28"/>
        <v>18000</v>
      </c>
      <c r="G80" s="283">
        <f t="shared" si="28"/>
        <v>31233000</v>
      </c>
      <c r="H80" s="283">
        <f t="shared" si="28"/>
        <v>4235000</v>
      </c>
      <c r="I80" s="283">
        <f t="shared" si="28"/>
        <v>0</v>
      </c>
      <c r="J80" s="283">
        <f t="shared" si="28"/>
        <v>3346973</v>
      </c>
      <c r="K80" s="283">
        <f t="shared" si="28"/>
        <v>0</v>
      </c>
      <c r="L80" s="283">
        <f t="shared" si="28"/>
        <v>66188078</v>
      </c>
      <c r="M80" s="283">
        <f t="shared" si="28"/>
        <v>33688078</v>
      </c>
      <c r="N80" s="283">
        <f t="shared" si="28"/>
        <v>8248000</v>
      </c>
      <c r="O80" s="283">
        <f t="shared" si="28"/>
        <v>32500000</v>
      </c>
      <c r="P80" s="291"/>
      <c r="Q80" s="291"/>
      <c r="R80" s="291"/>
      <c r="S80" s="291"/>
      <c r="T80" s="291"/>
    </row>
    <row r="81" spans="1:20" s="297" customFormat="1" ht="12.75" customHeight="1">
      <c r="A81" s="475">
        <v>85111</v>
      </c>
      <c r="B81" s="476" t="s">
        <v>386</v>
      </c>
      <c r="C81" s="294">
        <f t="shared" ref="C81:C87" si="29">D81+L81</f>
        <v>33824078</v>
      </c>
      <c r="D81" s="295">
        <f t="shared" ref="D81:D87" si="30">E81+H81+I81+J81+K81</f>
        <v>481000</v>
      </c>
      <c r="E81" s="295">
        <f t="shared" ref="E81:E87" si="31">F81+G81</f>
        <v>0</v>
      </c>
      <c r="F81" s="295">
        <v>0</v>
      </c>
      <c r="G81" s="295">
        <v>0</v>
      </c>
      <c r="H81" s="295">
        <v>0</v>
      </c>
      <c r="I81" s="295">
        <v>0</v>
      </c>
      <c r="J81" s="295">
        <f>8729000-N81</f>
        <v>481000</v>
      </c>
      <c r="K81" s="295">
        <v>0</v>
      </c>
      <c r="L81" s="295">
        <f t="shared" ref="L81:L87" si="32">M81+O81</f>
        <v>33343078</v>
      </c>
      <c r="M81" s="295">
        <v>33343078</v>
      </c>
      <c r="N81" s="295">
        <f>8248000</f>
        <v>8248000</v>
      </c>
      <c r="O81" s="295">
        <v>0</v>
      </c>
      <c r="P81" s="296"/>
      <c r="Q81" s="296"/>
      <c r="R81" s="296"/>
      <c r="S81" s="296"/>
      <c r="T81" s="296"/>
    </row>
    <row r="82" spans="1:20" s="297" customFormat="1" ht="12.75" customHeight="1">
      <c r="A82" s="475">
        <v>85148</v>
      </c>
      <c r="B82" s="476" t="s">
        <v>387</v>
      </c>
      <c r="C82" s="294">
        <f t="shared" si="29"/>
        <v>6200000</v>
      </c>
      <c r="D82" s="295">
        <f t="shared" si="30"/>
        <v>6200000</v>
      </c>
      <c r="E82" s="295">
        <f t="shared" si="31"/>
        <v>6200000</v>
      </c>
      <c r="F82" s="295">
        <v>0</v>
      </c>
      <c r="G82" s="295">
        <v>6200000</v>
      </c>
      <c r="H82" s="295">
        <v>0</v>
      </c>
      <c r="I82" s="295">
        <v>0</v>
      </c>
      <c r="J82" s="295">
        <v>0</v>
      </c>
      <c r="K82" s="295">
        <v>0</v>
      </c>
      <c r="L82" s="295">
        <f t="shared" si="32"/>
        <v>0</v>
      </c>
      <c r="M82" s="295">
        <v>0</v>
      </c>
      <c r="N82" s="295">
        <v>0</v>
      </c>
      <c r="O82" s="295">
        <v>0</v>
      </c>
      <c r="P82" s="296"/>
      <c r="Q82" s="296"/>
      <c r="R82" s="296"/>
      <c r="S82" s="296"/>
      <c r="T82" s="296"/>
    </row>
    <row r="83" spans="1:20" s="297" customFormat="1" ht="12.75" customHeight="1">
      <c r="A83" s="475">
        <v>85149</v>
      </c>
      <c r="B83" s="476" t="s">
        <v>388</v>
      </c>
      <c r="C83" s="294">
        <f t="shared" si="29"/>
        <v>2354600</v>
      </c>
      <c r="D83" s="295">
        <f t="shared" si="30"/>
        <v>2354600</v>
      </c>
      <c r="E83" s="295">
        <f t="shared" si="31"/>
        <v>0</v>
      </c>
      <c r="F83" s="295">
        <v>0</v>
      </c>
      <c r="G83" s="295">
        <v>0</v>
      </c>
      <c r="H83" s="295">
        <v>1880000</v>
      </c>
      <c r="I83" s="295">
        <v>0</v>
      </c>
      <c r="J83" s="295">
        <f>403410+71190</f>
        <v>474600</v>
      </c>
      <c r="K83" s="295">
        <v>0</v>
      </c>
      <c r="L83" s="295">
        <f t="shared" si="32"/>
        <v>0</v>
      </c>
      <c r="M83" s="295">
        <v>0</v>
      </c>
      <c r="N83" s="295">
        <v>0</v>
      </c>
      <c r="O83" s="295">
        <v>0</v>
      </c>
      <c r="P83" s="296"/>
      <c r="Q83" s="296"/>
      <c r="R83" s="296"/>
      <c r="S83" s="296"/>
      <c r="T83" s="296"/>
    </row>
    <row r="84" spans="1:20" s="297" customFormat="1" ht="12.75" customHeight="1">
      <c r="A84" s="475">
        <v>85153</v>
      </c>
      <c r="B84" s="476" t="s">
        <v>389</v>
      </c>
      <c r="C84" s="294">
        <f t="shared" si="29"/>
        <v>480000</v>
      </c>
      <c r="D84" s="295">
        <f t="shared" si="30"/>
        <v>480000</v>
      </c>
      <c r="E84" s="295">
        <f t="shared" si="31"/>
        <v>130000</v>
      </c>
      <c r="F84" s="295">
        <v>14000</v>
      </c>
      <c r="G84" s="295">
        <f>480000-364000</f>
        <v>116000</v>
      </c>
      <c r="H84" s="295">
        <v>350000</v>
      </c>
      <c r="I84" s="295">
        <v>0</v>
      </c>
      <c r="J84" s="295">
        <v>0</v>
      </c>
      <c r="K84" s="295">
        <v>0</v>
      </c>
      <c r="L84" s="295">
        <f t="shared" si="32"/>
        <v>0</v>
      </c>
      <c r="M84" s="295">
        <v>0</v>
      </c>
      <c r="N84" s="295">
        <v>0</v>
      </c>
      <c r="O84" s="295">
        <v>0</v>
      </c>
      <c r="P84" s="296"/>
      <c r="Q84" s="296"/>
      <c r="R84" s="296"/>
      <c r="S84" s="296"/>
      <c r="T84" s="296"/>
    </row>
    <row r="85" spans="1:20" s="297" customFormat="1" ht="12.75" customHeight="1">
      <c r="A85" s="475">
        <v>85154</v>
      </c>
      <c r="B85" s="476" t="s">
        <v>390</v>
      </c>
      <c r="C85" s="294">
        <f t="shared" si="29"/>
        <v>2225000</v>
      </c>
      <c r="D85" s="295">
        <f t="shared" si="30"/>
        <v>1880000</v>
      </c>
      <c r="E85" s="295">
        <f t="shared" si="31"/>
        <v>125000</v>
      </c>
      <c r="F85" s="295">
        <v>3000</v>
      </c>
      <c r="G85" s="295">
        <f>2225000-2103000</f>
        <v>122000</v>
      </c>
      <c r="H85" s="295">
        <v>1755000</v>
      </c>
      <c r="I85" s="295">
        <v>0</v>
      </c>
      <c r="J85" s="295">
        <v>0</v>
      </c>
      <c r="K85" s="295">
        <v>0</v>
      </c>
      <c r="L85" s="295">
        <f t="shared" si="32"/>
        <v>345000</v>
      </c>
      <c r="M85" s="295">
        <v>345000</v>
      </c>
      <c r="N85" s="295">
        <v>0</v>
      </c>
      <c r="O85" s="295">
        <v>0</v>
      </c>
      <c r="P85" s="296"/>
      <c r="Q85" s="296"/>
      <c r="R85" s="296"/>
      <c r="S85" s="296"/>
      <c r="T85" s="296"/>
    </row>
    <row r="86" spans="1:20" s="297" customFormat="1" ht="12.75" customHeight="1">
      <c r="A86" s="475">
        <v>85157</v>
      </c>
      <c r="B86" s="476" t="s">
        <v>255</v>
      </c>
      <c r="C86" s="294">
        <f>D86+L86</f>
        <v>24591000</v>
      </c>
      <c r="D86" s="295">
        <f>E86+H86+I86+J86+K86</f>
        <v>24591000</v>
      </c>
      <c r="E86" s="295">
        <f>F86+G86</f>
        <v>24591000</v>
      </c>
      <c r="F86" s="295">
        <v>0</v>
      </c>
      <c r="G86" s="295">
        <v>24591000</v>
      </c>
      <c r="H86" s="295">
        <v>0</v>
      </c>
      <c r="I86" s="295">
        <v>0</v>
      </c>
      <c r="J86" s="295">
        <v>0</v>
      </c>
      <c r="K86" s="295">
        <v>0</v>
      </c>
      <c r="L86" s="295">
        <f>M86+O86</f>
        <v>0</v>
      </c>
      <c r="M86" s="295">
        <v>0</v>
      </c>
      <c r="N86" s="295">
        <v>0</v>
      </c>
      <c r="O86" s="295">
        <v>0</v>
      </c>
      <c r="P86" s="296"/>
      <c r="Q86" s="296"/>
      <c r="R86" s="296"/>
      <c r="S86" s="296"/>
      <c r="T86" s="296"/>
    </row>
    <row r="87" spans="1:20" s="297" customFormat="1" ht="12.75" customHeight="1">
      <c r="A87" s="475">
        <v>85195</v>
      </c>
      <c r="B87" s="476" t="s">
        <v>46</v>
      </c>
      <c r="C87" s="294">
        <f t="shared" si="29"/>
        <v>35346373</v>
      </c>
      <c r="D87" s="295">
        <f t="shared" si="30"/>
        <v>2846373</v>
      </c>
      <c r="E87" s="295">
        <f t="shared" si="31"/>
        <v>205000</v>
      </c>
      <c r="F87" s="295">
        <v>1000</v>
      </c>
      <c r="G87" s="295">
        <f>35346373-35142373</f>
        <v>204000</v>
      </c>
      <c r="H87" s="295">
        <v>250000</v>
      </c>
      <c r="I87" s="295">
        <v>0</v>
      </c>
      <c r="J87" s="295">
        <f>1529826+412567+448980</f>
        <v>2391373</v>
      </c>
      <c r="K87" s="295">
        <v>0</v>
      </c>
      <c r="L87" s="295">
        <f t="shared" si="32"/>
        <v>32500000</v>
      </c>
      <c r="M87" s="295">
        <v>0</v>
      </c>
      <c r="N87" s="295">
        <v>0</v>
      </c>
      <c r="O87" s="295">
        <v>32500000</v>
      </c>
      <c r="P87" s="296"/>
      <c r="Q87" s="296"/>
      <c r="R87" s="296"/>
      <c r="S87" s="296"/>
      <c r="T87" s="296"/>
    </row>
    <row r="88" spans="1:20" s="292" customFormat="1" ht="14.1" customHeight="1">
      <c r="A88" s="280">
        <v>852</v>
      </c>
      <c r="B88" s="281" t="s">
        <v>83</v>
      </c>
      <c r="C88" s="282">
        <f>C89+C90+C91+C93+C92</f>
        <v>34648078</v>
      </c>
      <c r="D88" s="283">
        <f>D89+D90+D91+D93+D92</f>
        <v>13774293</v>
      </c>
      <c r="E88" s="283">
        <f t="shared" ref="E88:O88" si="33">E89+E90+E91+E93+E92</f>
        <v>6832967</v>
      </c>
      <c r="F88" s="283">
        <f t="shared" si="33"/>
        <v>4367386</v>
      </c>
      <c r="G88" s="283">
        <f t="shared" si="33"/>
        <v>2465581</v>
      </c>
      <c r="H88" s="283">
        <f t="shared" si="33"/>
        <v>325000</v>
      </c>
      <c r="I88" s="283">
        <f t="shared" si="33"/>
        <v>49120</v>
      </c>
      <c r="J88" s="283">
        <f t="shared" si="33"/>
        <v>6567206</v>
      </c>
      <c r="K88" s="283">
        <f t="shared" si="33"/>
        <v>0</v>
      </c>
      <c r="L88" s="283">
        <f t="shared" si="33"/>
        <v>20873785</v>
      </c>
      <c r="M88" s="283">
        <f t="shared" si="33"/>
        <v>20873785</v>
      </c>
      <c r="N88" s="283">
        <f t="shared" si="33"/>
        <v>19952515</v>
      </c>
      <c r="O88" s="283">
        <f t="shared" si="33"/>
        <v>0</v>
      </c>
      <c r="P88" s="291"/>
      <c r="Q88" s="291"/>
      <c r="R88" s="291"/>
      <c r="S88" s="291"/>
      <c r="T88" s="291"/>
    </row>
    <row r="89" spans="1:20" s="297" customFormat="1" ht="12.75" customHeight="1">
      <c r="A89" s="475">
        <v>85203</v>
      </c>
      <c r="B89" s="476" t="s">
        <v>391</v>
      </c>
      <c r="C89" s="294">
        <f>D89+L89</f>
        <v>204851</v>
      </c>
      <c r="D89" s="295">
        <f>E89+H89+I89+J89+K89</f>
        <v>204851</v>
      </c>
      <c r="E89" s="295">
        <f>F89+G89</f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f>204851</f>
        <v>204851</v>
      </c>
      <c r="K89" s="295">
        <v>0</v>
      </c>
      <c r="L89" s="295">
        <f>M89+O89</f>
        <v>0</v>
      </c>
      <c r="M89" s="295">
        <v>0</v>
      </c>
      <c r="N89" s="295">
        <v>0</v>
      </c>
      <c r="O89" s="295">
        <v>0</v>
      </c>
      <c r="P89" s="296"/>
      <c r="Q89" s="296"/>
      <c r="R89" s="296"/>
      <c r="S89" s="296"/>
      <c r="T89" s="296"/>
    </row>
    <row r="90" spans="1:20" s="272" customFormat="1" ht="27" customHeight="1">
      <c r="A90" s="268">
        <v>85205</v>
      </c>
      <c r="B90" s="286" t="s">
        <v>84</v>
      </c>
      <c r="C90" s="270">
        <f>D90+L90</f>
        <v>595000</v>
      </c>
      <c r="D90" s="271">
        <f>E90+H90+I90+J90+K90</f>
        <v>595000</v>
      </c>
      <c r="E90" s="271">
        <f>F90+G90</f>
        <v>520000</v>
      </c>
      <c r="F90" s="271">
        <v>213500</v>
      </c>
      <c r="G90" s="271">
        <f>595000-288500</f>
        <v>306500</v>
      </c>
      <c r="H90" s="271">
        <v>75000</v>
      </c>
      <c r="I90" s="271">
        <v>0</v>
      </c>
      <c r="J90" s="271">
        <v>0</v>
      </c>
      <c r="K90" s="271">
        <v>0</v>
      </c>
      <c r="L90" s="271">
        <f>M90+O90</f>
        <v>0</v>
      </c>
      <c r="M90" s="271">
        <v>0</v>
      </c>
      <c r="N90" s="271">
        <v>0</v>
      </c>
      <c r="O90" s="271">
        <v>0</v>
      </c>
      <c r="P90" s="279"/>
      <c r="Q90" s="279"/>
      <c r="R90" s="279"/>
      <c r="S90" s="279"/>
      <c r="T90" s="279"/>
    </row>
    <row r="91" spans="1:20" s="297" customFormat="1" ht="12.75" customHeight="1">
      <c r="A91" s="475">
        <v>85217</v>
      </c>
      <c r="B91" s="476" t="s">
        <v>85</v>
      </c>
      <c r="C91" s="294">
        <f>D91+L91</f>
        <v>6663357</v>
      </c>
      <c r="D91" s="295">
        <f>E91+H91+I91+J91+K91</f>
        <v>5742087</v>
      </c>
      <c r="E91" s="295">
        <f>F91+G91</f>
        <v>5737967</v>
      </c>
      <c r="F91" s="295">
        <v>4153886</v>
      </c>
      <c r="G91" s="295">
        <f>6663357-5079276</f>
        <v>1584081</v>
      </c>
      <c r="H91" s="295">
        <v>0</v>
      </c>
      <c r="I91" s="295">
        <v>4120</v>
      </c>
      <c r="J91" s="295">
        <v>0</v>
      </c>
      <c r="K91" s="295">
        <v>0</v>
      </c>
      <c r="L91" s="295">
        <f>M91+O91</f>
        <v>921270</v>
      </c>
      <c r="M91" s="295">
        <v>921270</v>
      </c>
      <c r="N91" s="295">
        <v>0</v>
      </c>
      <c r="O91" s="295">
        <v>0</v>
      </c>
      <c r="P91" s="296"/>
      <c r="Q91" s="296"/>
      <c r="R91" s="296"/>
      <c r="S91" s="296"/>
      <c r="T91" s="296"/>
    </row>
    <row r="92" spans="1:20" s="297" customFormat="1" ht="12.75" customHeight="1">
      <c r="A92" s="475">
        <v>85231</v>
      </c>
      <c r="B92" s="476" t="s">
        <v>392</v>
      </c>
      <c r="C92" s="294">
        <f>D92+L92</f>
        <v>800000</v>
      </c>
      <c r="D92" s="295">
        <f>E92+H92+I92+J92+K92</f>
        <v>800000</v>
      </c>
      <c r="E92" s="295">
        <f>F92+G92</f>
        <v>550000</v>
      </c>
      <c r="F92" s="295">
        <v>0</v>
      </c>
      <c r="G92" s="295">
        <f>800000-250000</f>
        <v>550000</v>
      </c>
      <c r="H92" s="295">
        <v>250000</v>
      </c>
      <c r="I92" s="295">
        <v>0</v>
      </c>
      <c r="J92" s="295">
        <v>0</v>
      </c>
      <c r="K92" s="295">
        <v>0</v>
      </c>
      <c r="L92" s="295">
        <f>M92+O92</f>
        <v>0</v>
      </c>
      <c r="M92" s="295">
        <v>0</v>
      </c>
      <c r="N92" s="295">
        <v>0</v>
      </c>
      <c r="O92" s="295">
        <v>0</v>
      </c>
      <c r="P92" s="296"/>
      <c r="Q92" s="296"/>
      <c r="R92" s="296"/>
      <c r="S92" s="296"/>
      <c r="T92" s="296"/>
    </row>
    <row r="93" spans="1:20" s="297" customFormat="1" ht="12.75" customHeight="1">
      <c r="A93" s="475">
        <v>85295</v>
      </c>
      <c r="B93" s="476" t="s">
        <v>46</v>
      </c>
      <c r="C93" s="294">
        <f>D93+L93</f>
        <v>26384870</v>
      </c>
      <c r="D93" s="295">
        <f>E93+H93+I93+J93+K93</f>
        <v>6432355</v>
      </c>
      <c r="E93" s="295">
        <f>F93+G93</f>
        <v>25000</v>
      </c>
      <c r="F93" s="295">
        <v>0</v>
      </c>
      <c r="G93" s="295">
        <f>26384870-26359870</f>
        <v>25000</v>
      </c>
      <c r="H93" s="295">
        <v>0</v>
      </c>
      <c r="I93" s="295">
        <v>45000</v>
      </c>
      <c r="J93" s="295">
        <f>20429178-N93+5885692</f>
        <v>6362355</v>
      </c>
      <c r="K93" s="295">
        <v>0</v>
      </c>
      <c r="L93" s="295">
        <f>M93+O93</f>
        <v>19952515</v>
      </c>
      <c r="M93" s="295">
        <v>19952515</v>
      </c>
      <c r="N93" s="295">
        <v>19952515</v>
      </c>
      <c r="O93" s="295">
        <v>0</v>
      </c>
      <c r="P93" s="296"/>
      <c r="Q93" s="296"/>
      <c r="R93" s="296"/>
      <c r="S93" s="296"/>
      <c r="T93" s="296"/>
    </row>
    <row r="94" spans="1:20" s="473" customFormat="1" ht="30">
      <c r="A94" s="469">
        <v>853</v>
      </c>
      <c r="B94" s="470" t="s">
        <v>42</v>
      </c>
      <c r="C94" s="298">
        <f t="shared" ref="C94:O94" si="34">C95+C96+C98+C99+C97</f>
        <v>29928216</v>
      </c>
      <c r="D94" s="299">
        <f t="shared" si="34"/>
        <v>29708216</v>
      </c>
      <c r="E94" s="299">
        <f t="shared" si="34"/>
        <v>17890320</v>
      </c>
      <c r="F94" s="299">
        <f t="shared" si="34"/>
        <v>13669286</v>
      </c>
      <c r="G94" s="299">
        <f t="shared" si="34"/>
        <v>4221034</v>
      </c>
      <c r="H94" s="299">
        <f t="shared" si="34"/>
        <v>750000</v>
      </c>
      <c r="I94" s="299">
        <f t="shared" si="34"/>
        <v>13400</v>
      </c>
      <c r="J94" s="299">
        <f t="shared" si="34"/>
        <v>11054496</v>
      </c>
      <c r="K94" s="299">
        <f t="shared" si="34"/>
        <v>0</v>
      </c>
      <c r="L94" s="299">
        <f t="shared" si="34"/>
        <v>220000</v>
      </c>
      <c r="M94" s="299">
        <f t="shared" si="34"/>
        <v>220000</v>
      </c>
      <c r="N94" s="299">
        <f t="shared" si="34"/>
        <v>0</v>
      </c>
      <c r="O94" s="299">
        <f t="shared" si="34"/>
        <v>0</v>
      </c>
      <c r="P94" s="472"/>
      <c r="Q94" s="472"/>
      <c r="R94" s="472"/>
      <c r="S94" s="472"/>
      <c r="T94" s="472"/>
    </row>
    <row r="95" spans="1:20" s="272" customFormat="1" ht="27" customHeight="1">
      <c r="A95" s="268">
        <v>85311</v>
      </c>
      <c r="B95" s="286" t="s">
        <v>393</v>
      </c>
      <c r="C95" s="270">
        <f>D95+L95</f>
        <v>600000</v>
      </c>
      <c r="D95" s="271">
        <f>E95+H95+I95+J95+K95</f>
        <v>600000</v>
      </c>
      <c r="E95" s="271">
        <f>F95+G95</f>
        <v>0</v>
      </c>
      <c r="F95" s="271">
        <v>0</v>
      </c>
      <c r="G95" s="271">
        <v>0</v>
      </c>
      <c r="H95" s="271">
        <v>600000</v>
      </c>
      <c r="I95" s="271">
        <v>0</v>
      </c>
      <c r="J95" s="271">
        <v>0</v>
      </c>
      <c r="K95" s="271">
        <v>0</v>
      </c>
      <c r="L95" s="271">
        <f>M95+O95</f>
        <v>0</v>
      </c>
      <c r="M95" s="271">
        <v>0</v>
      </c>
      <c r="N95" s="271">
        <v>0</v>
      </c>
      <c r="O95" s="271">
        <v>0</v>
      </c>
      <c r="P95" s="279"/>
      <c r="Q95" s="279"/>
      <c r="R95" s="279"/>
      <c r="S95" s="279"/>
      <c r="T95" s="279"/>
    </row>
    <row r="96" spans="1:20" s="272" customFormat="1" ht="27" customHeight="1">
      <c r="A96" s="268">
        <v>85324</v>
      </c>
      <c r="B96" s="286" t="s">
        <v>86</v>
      </c>
      <c r="C96" s="270">
        <f>D96+L96</f>
        <v>440550</v>
      </c>
      <c r="D96" s="271">
        <f>E96+H96+I96+J96+K96</f>
        <v>440550</v>
      </c>
      <c r="E96" s="271">
        <f>F96+G96</f>
        <v>440550</v>
      </c>
      <c r="F96" s="271">
        <v>376550</v>
      </c>
      <c r="G96" s="271">
        <f>440550-376550</f>
        <v>64000</v>
      </c>
      <c r="H96" s="271">
        <v>0</v>
      </c>
      <c r="I96" s="271">
        <v>0</v>
      </c>
      <c r="J96" s="271">
        <v>0</v>
      </c>
      <c r="K96" s="271">
        <v>0</v>
      </c>
      <c r="L96" s="271">
        <f>M96+O96</f>
        <v>0</v>
      </c>
      <c r="M96" s="271">
        <v>0</v>
      </c>
      <c r="N96" s="271">
        <v>0</v>
      </c>
      <c r="O96" s="271">
        <v>0</v>
      </c>
      <c r="P96" s="279"/>
      <c r="Q96" s="279"/>
      <c r="R96" s="279"/>
      <c r="S96" s="279"/>
      <c r="T96" s="279"/>
    </row>
    <row r="97" spans="1:20" s="272" customFormat="1" ht="27" customHeight="1">
      <c r="A97" s="268">
        <v>85325</v>
      </c>
      <c r="B97" s="286" t="s">
        <v>87</v>
      </c>
      <c r="C97" s="270">
        <f>D97+L97</f>
        <v>1620000</v>
      </c>
      <c r="D97" s="271">
        <f>E97+H97+I97+J97+K97</f>
        <v>1620000</v>
      </c>
      <c r="E97" s="271">
        <f>F97+G97</f>
        <v>1617000</v>
      </c>
      <c r="F97" s="271">
        <v>1318000</v>
      </c>
      <c r="G97" s="271">
        <f>1620000-1321000</f>
        <v>299000</v>
      </c>
      <c r="H97" s="271">
        <v>0</v>
      </c>
      <c r="I97" s="271">
        <v>3000</v>
      </c>
      <c r="J97" s="271">
        <v>0</v>
      </c>
      <c r="K97" s="271">
        <v>0</v>
      </c>
      <c r="L97" s="271">
        <f>M97+O97</f>
        <v>0</v>
      </c>
      <c r="M97" s="271">
        <v>0</v>
      </c>
      <c r="N97" s="271">
        <v>0</v>
      </c>
      <c r="O97" s="271">
        <v>0</v>
      </c>
      <c r="P97" s="279"/>
      <c r="Q97" s="279"/>
      <c r="R97" s="279"/>
      <c r="S97" s="279"/>
      <c r="T97" s="279"/>
    </row>
    <row r="98" spans="1:20" s="297" customFormat="1" ht="12.75" customHeight="1">
      <c r="A98" s="475">
        <v>85332</v>
      </c>
      <c r="B98" s="476" t="s">
        <v>43</v>
      </c>
      <c r="C98" s="294">
        <f>D98+L98</f>
        <v>17533846</v>
      </c>
      <c r="D98" s="295">
        <f>E98+H98+I98+J98+K98</f>
        <v>17313846</v>
      </c>
      <c r="E98" s="295">
        <f>F98+G98</f>
        <v>13656270</v>
      </c>
      <c r="F98" s="295">
        <v>11474306</v>
      </c>
      <c r="G98" s="295">
        <f>17533846-15351882</f>
        <v>2181964</v>
      </c>
      <c r="H98" s="295">
        <v>0</v>
      </c>
      <c r="I98" s="295">
        <v>10400</v>
      </c>
      <c r="J98" s="295">
        <f>3100100+547076</f>
        <v>3647176</v>
      </c>
      <c r="K98" s="295">
        <v>0</v>
      </c>
      <c r="L98" s="295">
        <f>M98+O98</f>
        <v>220000</v>
      </c>
      <c r="M98" s="295">
        <v>220000</v>
      </c>
      <c r="N98" s="295">
        <v>0</v>
      </c>
      <c r="O98" s="295">
        <v>0</v>
      </c>
      <c r="P98" s="296"/>
      <c r="Q98" s="296"/>
      <c r="R98" s="296"/>
      <c r="S98" s="296"/>
      <c r="T98" s="296"/>
    </row>
    <row r="99" spans="1:20" s="297" customFormat="1" ht="12.75" customHeight="1">
      <c r="A99" s="475">
        <v>85395</v>
      </c>
      <c r="B99" s="476" t="s">
        <v>46</v>
      </c>
      <c r="C99" s="294">
        <f>D99+L99</f>
        <v>9733820</v>
      </c>
      <c r="D99" s="295">
        <f>E99+H99+I99+J99+K99</f>
        <v>9733820</v>
      </c>
      <c r="E99" s="295">
        <f>F99+G99</f>
        <v>2176500</v>
      </c>
      <c r="F99" s="295">
        <v>500430</v>
      </c>
      <c r="G99" s="295">
        <f>9733820-8057750</f>
        <v>1676070</v>
      </c>
      <c r="H99" s="295">
        <v>150000</v>
      </c>
      <c r="I99" s="295">
        <v>0</v>
      </c>
      <c r="J99" s="295">
        <f>5732914+1674406</f>
        <v>7407320</v>
      </c>
      <c r="K99" s="295">
        <v>0</v>
      </c>
      <c r="L99" s="295">
        <f>M99+O99</f>
        <v>0</v>
      </c>
      <c r="M99" s="295">
        <v>0</v>
      </c>
      <c r="N99" s="295">
        <v>0</v>
      </c>
      <c r="O99" s="295">
        <v>0</v>
      </c>
      <c r="P99" s="296"/>
      <c r="Q99" s="296"/>
      <c r="R99" s="296"/>
      <c r="S99" s="296"/>
      <c r="T99" s="296"/>
    </row>
    <row r="100" spans="1:20" s="292" customFormat="1" ht="14.1" customHeight="1">
      <c r="A100" s="280">
        <v>854</v>
      </c>
      <c r="B100" s="281" t="s">
        <v>394</v>
      </c>
      <c r="C100" s="282">
        <f t="shared" ref="C100:O100" si="35">C101+C103+C104+C105+C107+C108+C102+C106</f>
        <v>50020950</v>
      </c>
      <c r="D100" s="283">
        <f t="shared" si="35"/>
        <v>44202450</v>
      </c>
      <c r="E100" s="283">
        <f t="shared" si="35"/>
        <v>37048625</v>
      </c>
      <c r="F100" s="283">
        <f t="shared" si="35"/>
        <v>32346168</v>
      </c>
      <c r="G100" s="283">
        <f t="shared" si="35"/>
        <v>4702457</v>
      </c>
      <c r="H100" s="283">
        <f t="shared" si="35"/>
        <v>278400</v>
      </c>
      <c r="I100" s="283">
        <f t="shared" si="35"/>
        <v>671145</v>
      </c>
      <c r="J100" s="283">
        <f t="shared" si="35"/>
        <v>6204280</v>
      </c>
      <c r="K100" s="283">
        <f t="shared" si="35"/>
        <v>0</v>
      </c>
      <c r="L100" s="283">
        <f t="shared" si="35"/>
        <v>5818500</v>
      </c>
      <c r="M100" s="283">
        <f t="shared" si="35"/>
        <v>5818500</v>
      </c>
      <c r="N100" s="283">
        <f t="shared" si="35"/>
        <v>0</v>
      </c>
      <c r="O100" s="283">
        <f t="shared" si="35"/>
        <v>0</v>
      </c>
      <c r="P100" s="291"/>
      <c r="Q100" s="291"/>
      <c r="R100" s="291"/>
      <c r="S100" s="291"/>
      <c r="T100" s="291"/>
    </row>
    <row r="101" spans="1:20" s="297" customFormat="1" ht="12.75" customHeight="1">
      <c r="A101" s="475">
        <v>85403</v>
      </c>
      <c r="B101" s="476" t="s">
        <v>88</v>
      </c>
      <c r="C101" s="294">
        <f t="shared" ref="C101:C108" si="36">D101+L101</f>
        <v>31039373</v>
      </c>
      <c r="D101" s="295">
        <f t="shared" ref="D101:D108" si="37">E101+H101+I101+J101+K101</f>
        <v>26520873</v>
      </c>
      <c r="E101" s="295">
        <f t="shared" ref="E101:E108" si="38">F101+G101</f>
        <v>26505743</v>
      </c>
      <c r="F101" s="295">
        <v>23150640</v>
      </c>
      <c r="G101" s="295">
        <f>31039373-27684270</f>
        <v>3355103</v>
      </c>
      <c r="H101" s="295">
        <v>0</v>
      </c>
      <c r="I101" s="295">
        <v>15130</v>
      </c>
      <c r="J101" s="295">
        <v>0</v>
      </c>
      <c r="K101" s="295">
        <v>0</v>
      </c>
      <c r="L101" s="295">
        <f t="shared" ref="L101:L108" si="39">M101+O101</f>
        <v>4518500</v>
      </c>
      <c r="M101" s="295">
        <v>4518500</v>
      </c>
      <c r="N101" s="295">
        <v>0</v>
      </c>
      <c r="O101" s="295">
        <v>0</v>
      </c>
      <c r="P101" s="296"/>
      <c r="Q101" s="296"/>
      <c r="R101" s="296"/>
      <c r="S101" s="296"/>
      <c r="T101" s="296"/>
    </row>
    <row r="102" spans="1:20" s="297" customFormat="1" ht="12.75" customHeight="1">
      <c r="A102" s="475">
        <v>85404</v>
      </c>
      <c r="B102" s="476" t="s">
        <v>89</v>
      </c>
      <c r="C102" s="294">
        <f t="shared" si="36"/>
        <v>1962333</v>
      </c>
      <c r="D102" s="295">
        <f t="shared" si="37"/>
        <v>1962333</v>
      </c>
      <c r="E102" s="295">
        <f t="shared" si="38"/>
        <v>1961833</v>
      </c>
      <c r="F102" s="295">
        <v>1811873</v>
      </c>
      <c r="G102" s="295">
        <f>1962333-1812373</f>
        <v>149960</v>
      </c>
      <c r="H102" s="295">
        <v>0</v>
      </c>
      <c r="I102" s="295">
        <v>500</v>
      </c>
      <c r="J102" s="295">
        <v>0</v>
      </c>
      <c r="K102" s="295">
        <v>0</v>
      </c>
      <c r="L102" s="295">
        <f t="shared" si="39"/>
        <v>0</v>
      </c>
      <c r="M102" s="295">
        <v>0</v>
      </c>
      <c r="N102" s="295">
        <v>0</v>
      </c>
      <c r="O102" s="295">
        <v>0</v>
      </c>
      <c r="P102" s="296"/>
      <c r="Q102" s="296"/>
      <c r="R102" s="296"/>
      <c r="S102" s="296"/>
      <c r="T102" s="296"/>
    </row>
    <row r="103" spans="1:20" s="297" customFormat="1" ht="12.75" customHeight="1">
      <c r="A103" s="475">
        <v>85407</v>
      </c>
      <c r="B103" s="476" t="s">
        <v>90</v>
      </c>
      <c r="C103" s="294">
        <f t="shared" si="36"/>
        <v>5621652</v>
      </c>
      <c r="D103" s="295">
        <f t="shared" si="37"/>
        <v>5621652</v>
      </c>
      <c r="E103" s="295">
        <f t="shared" si="38"/>
        <v>5608637</v>
      </c>
      <c r="F103" s="295">
        <v>5424317</v>
      </c>
      <c r="G103" s="295">
        <f>5621652-5437332</f>
        <v>184320</v>
      </c>
      <c r="H103" s="295">
        <v>0</v>
      </c>
      <c r="I103" s="295">
        <v>13015</v>
      </c>
      <c r="J103" s="295">
        <v>0</v>
      </c>
      <c r="K103" s="295">
        <v>0</v>
      </c>
      <c r="L103" s="295">
        <f t="shared" si="39"/>
        <v>0</v>
      </c>
      <c r="M103" s="295">
        <v>0</v>
      </c>
      <c r="N103" s="295">
        <v>0</v>
      </c>
      <c r="O103" s="295">
        <v>0</v>
      </c>
      <c r="P103" s="296"/>
      <c r="Q103" s="296"/>
      <c r="R103" s="296"/>
      <c r="S103" s="296"/>
      <c r="T103" s="296"/>
    </row>
    <row r="104" spans="1:20" s="297" customFormat="1" ht="12.75" customHeight="1">
      <c r="A104" s="475">
        <v>85410</v>
      </c>
      <c r="B104" s="476" t="s">
        <v>395</v>
      </c>
      <c r="C104" s="294">
        <f t="shared" si="36"/>
        <v>3569513</v>
      </c>
      <c r="D104" s="295">
        <f t="shared" si="37"/>
        <v>2269513</v>
      </c>
      <c r="E104" s="295">
        <f t="shared" si="38"/>
        <v>2267013</v>
      </c>
      <c r="F104" s="295">
        <v>1959338</v>
      </c>
      <c r="G104" s="295">
        <f>3569513-3261838</f>
        <v>307675</v>
      </c>
      <c r="H104" s="295">
        <v>0</v>
      </c>
      <c r="I104" s="295">
        <v>2500</v>
      </c>
      <c r="J104" s="295">
        <v>0</v>
      </c>
      <c r="K104" s="295">
        <v>0</v>
      </c>
      <c r="L104" s="295">
        <f t="shared" si="39"/>
        <v>1300000</v>
      </c>
      <c r="M104" s="295">
        <v>1300000</v>
      </c>
      <c r="N104" s="295">
        <v>0</v>
      </c>
      <c r="O104" s="295">
        <v>0</v>
      </c>
      <c r="P104" s="296"/>
      <c r="Q104" s="296"/>
      <c r="R104" s="296"/>
      <c r="S104" s="296"/>
      <c r="T104" s="296"/>
    </row>
    <row r="105" spans="1:20" s="272" customFormat="1" ht="27" customHeight="1">
      <c r="A105" s="268">
        <v>85415</v>
      </c>
      <c r="B105" s="286" t="s">
        <v>396</v>
      </c>
      <c r="C105" s="270">
        <f t="shared" si="36"/>
        <v>278400</v>
      </c>
      <c r="D105" s="271">
        <f t="shared" si="37"/>
        <v>278400</v>
      </c>
      <c r="E105" s="271">
        <f t="shared" si="38"/>
        <v>0</v>
      </c>
      <c r="F105" s="271">
        <v>0</v>
      </c>
      <c r="G105" s="271">
        <v>0</v>
      </c>
      <c r="H105" s="271">
        <v>278400</v>
      </c>
      <c r="I105" s="271">
        <v>0</v>
      </c>
      <c r="J105" s="271">
        <v>0</v>
      </c>
      <c r="K105" s="271">
        <v>0</v>
      </c>
      <c r="L105" s="271">
        <f t="shared" si="39"/>
        <v>0</v>
      </c>
      <c r="M105" s="271">
        <v>0</v>
      </c>
      <c r="N105" s="271">
        <v>0</v>
      </c>
      <c r="O105" s="271">
        <v>0</v>
      </c>
      <c r="P105" s="279"/>
      <c r="Q105" s="279"/>
      <c r="R105" s="279"/>
      <c r="S105" s="279"/>
      <c r="T105" s="279"/>
    </row>
    <row r="106" spans="1:20" s="272" customFormat="1" ht="27" customHeight="1">
      <c r="A106" s="268">
        <v>85416</v>
      </c>
      <c r="B106" s="278" t="s">
        <v>397</v>
      </c>
      <c r="C106" s="270">
        <f t="shared" si="36"/>
        <v>6804280</v>
      </c>
      <c r="D106" s="271">
        <f t="shared" si="37"/>
        <v>6804280</v>
      </c>
      <c r="E106" s="271">
        <f t="shared" si="38"/>
        <v>0</v>
      </c>
      <c r="F106" s="271">
        <v>0</v>
      </c>
      <c r="G106" s="271">
        <v>0</v>
      </c>
      <c r="H106" s="271">
        <v>0</v>
      </c>
      <c r="I106" s="271">
        <v>600000</v>
      </c>
      <c r="J106" s="271">
        <f>5273638+930642</f>
        <v>6204280</v>
      </c>
      <c r="K106" s="271">
        <v>0</v>
      </c>
      <c r="L106" s="271">
        <f t="shared" si="39"/>
        <v>0</v>
      </c>
      <c r="M106" s="271">
        <v>0</v>
      </c>
      <c r="N106" s="271">
        <v>0</v>
      </c>
      <c r="O106" s="271">
        <v>0</v>
      </c>
      <c r="P106" s="279"/>
      <c r="Q106" s="279"/>
      <c r="R106" s="279"/>
      <c r="S106" s="279"/>
      <c r="T106" s="279"/>
    </row>
    <row r="107" spans="1:20" s="297" customFormat="1" ht="12.75" customHeight="1">
      <c r="A107" s="475">
        <v>85446</v>
      </c>
      <c r="B107" s="477" t="s">
        <v>81</v>
      </c>
      <c r="C107" s="294">
        <f t="shared" si="36"/>
        <v>200000</v>
      </c>
      <c r="D107" s="295">
        <f t="shared" si="37"/>
        <v>200000</v>
      </c>
      <c r="E107" s="295">
        <f t="shared" si="38"/>
        <v>200000</v>
      </c>
      <c r="F107" s="295">
        <v>0</v>
      </c>
      <c r="G107" s="295">
        <v>200000</v>
      </c>
      <c r="H107" s="295">
        <v>0</v>
      </c>
      <c r="I107" s="295">
        <v>0</v>
      </c>
      <c r="J107" s="295">
        <v>0</v>
      </c>
      <c r="K107" s="295">
        <v>0</v>
      </c>
      <c r="L107" s="295">
        <f t="shared" si="39"/>
        <v>0</v>
      </c>
      <c r="M107" s="295">
        <v>0</v>
      </c>
      <c r="N107" s="295">
        <v>0</v>
      </c>
      <c r="O107" s="295">
        <v>0</v>
      </c>
      <c r="P107" s="296"/>
      <c r="Q107" s="296"/>
      <c r="R107" s="296"/>
      <c r="S107" s="296"/>
      <c r="T107" s="296"/>
    </row>
    <row r="108" spans="1:20" s="297" customFormat="1" ht="12.75" customHeight="1">
      <c r="A108" s="475">
        <v>85495</v>
      </c>
      <c r="B108" s="476" t="s">
        <v>46</v>
      </c>
      <c r="C108" s="294">
        <f t="shared" si="36"/>
        <v>545399</v>
      </c>
      <c r="D108" s="295">
        <f t="shared" si="37"/>
        <v>545399</v>
      </c>
      <c r="E108" s="295">
        <f t="shared" si="38"/>
        <v>505399</v>
      </c>
      <c r="F108" s="295">
        <v>0</v>
      </c>
      <c r="G108" s="295">
        <f>545399-40000</f>
        <v>505399</v>
      </c>
      <c r="H108" s="295">
        <v>0</v>
      </c>
      <c r="I108" s="295">
        <v>40000</v>
      </c>
      <c r="J108" s="295">
        <v>0</v>
      </c>
      <c r="K108" s="295">
        <v>0</v>
      </c>
      <c r="L108" s="295">
        <f t="shared" si="39"/>
        <v>0</v>
      </c>
      <c r="M108" s="295">
        <v>0</v>
      </c>
      <c r="N108" s="295">
        <v>0</v>
      </c>
      <c r="O108" s="295">
        <v>0</v>
      </c>
      <c r="P108" s="296"/>
      <c r="Q108" s="296"/>
      <c r="R108" s="296"/>
      <c r="S108" s="296"/>
      <c r="T108" s="296"/>
    </row>
    <row r="109" spans="1:20" s="292" customFormat="1" ht="14.1" customHeight="1">
      <c r="A109" s="280">
        <v>855</v>
      </c>
      <c r="B109" s="281" t="s">
        <v>53</v>
      </c>
      <c r="C109" s="282">
        <f t="shared" ref="C109:O109" si="40">C110+C111</f>
        <v>5245000</v>
      </c>
      <c r="D109" s="283">
        <f t="shared" si="40"/>
        <v>5245000</v>
      </c>
      <c r="E109" s="283">
        <f t="shared" si="40"/>
        <v>3513800</v>
      </c>
      <c r="F109" s="283">
        <f t="shared" si="40"/>
        <v>2710111</v>
      </c>
      <c r="G109" s="283">
        <f t="shared" si="40"/>
        <v>803689</v>
      </c>
      <c r="H109" s="283">
        <f t="shared" si="40"/>
        <v>1730000</v>
      </c>
      <c r="I109" s="283">
        <f t="shared" si="40"/>
        <v>1200</v>
      </c>
      <c r="J109" s="283">
        <f t="shared" si="40"/>
        <v>0</v>
      </c>
      <c r="K109" s="283">
        <f t="shared" si="40"/>
        <v>0</v>
      </c>
      <c r="L109" s="283">
        <f t="shared" si="40"/>
        <v>0</v>
      </c>
      <c r="M109" s="283">
        <f t="shared" si="40"/>
        <v>0</v>
      </c>
      <c r="N109" s="283">
        <f t="shared" si="40"/>
        <v>0</v>
      </c>
      <c r="O109" s="283">
        <f t="shared" si="40"/>
        <v>0</v>
      </c>
      <c r="P109" s="291"/>
      <c r="Q109" s="291"/>
      <c r="R109" s="291"/>
      <c r="S109" s="291"/>
      <c r="T109" s="291"/>
    </row>
    <row r="110" spans="1:20" s="297" customFormat="1" ht="12.75" customHeight="1">
      <c r="A110" s="475">
        <v>85509</v>
      </c>
      <c r="B110" s="476" t="s">
        <v>54</v>
      </c>
      <c r="C110" s="294">
        <f>D110+L110</f>
        <v>3735000</v>
      </c>
      <c r="D110" s="295">
        <f>E110+H110+I110+J110+K110</f>
        <v>3735000</v>
      </c>
      <c r="E110" s="295">
        <f>F110+G110</f>
        <v>3303800</v>
      </c>
      <c r="F110" s="295">
        <v>2708111</v>
      </c>
      <c r="G110" s="295">
        <f>3735000-3139311</f>
        <v>595689</v>
      </c>
      <c r="H110" s="295">
        <v>430000</v>
      </c>
      <c r="I110" s="295">
        <v>1200</v>
      </c>
      <c r="J110" s="295">
        <v>0</v>
      </c>
      <c r="K110" s="295">
        <v>0</v>
      </c>
      <c r="L110" s="295">
        <f>M110+O110</f>
        <v>0</v>
      </c>
      <c r="M110" s="295">
        <v>0</v>
      </c>
      <c r="N110" s="295">
        <v>0</v>
      </c>
      <c r="O110" s="295">
        <v>0</v>
      </c>
      <c r="P110" s="296"/>
      <c r="Q110" s="296"/>
      <c r="R110" s="296"/>
      <c r="S110" s="296"/>
      <c r="T110" s="296"/>
    </row>
    <row r="111" spans="1:20" s="297" customFormat="1" ht="12.75" customHeight="1">
      <c r="A111" s="475">
        <v>85595</v>
      </c>
      <c r="B111" s="476" t="s">
        <v>46</v>
      </c>
      <c r="C111" s="294">
        <f>D111+L111</f>
        <v>1510000</v>
      </c>
      <c r="D111" s="295">
        <f>E111+H111+I111+J111+K111</f>
        <v>1510000</v>
      </c>
      <c r="E111" s="295">
        <f>F111+G111</f>
        <v>210000</v>
      </c>
      <c r="F111" s="295">
        <v>2000</v>
      </c>
      <c r="G111" s="295">
        <f>1510000-1302000</f>
        <v>208000</v>
      </c>
      <c r="H111" s="295">
        <v>1300000</v>
      </c>
      <c r="I111" s="295">
        <v>0</v>
      </c>
      <c r="J111" s="295">
        <v>0</v>
      </c>
      <c r="K111" s="295">
        <v>0</v>
      </c>
      <c r="L111" s="295">
        <f>M111+O111</f>
        <v>0</v>
      </c>
      <c r="M111" s="295">
        <v>0</v>
      </c>
      <c r="N111" s="295">
        <v>0</v>
      </c>
      <c r="O111" s="295">
        <v>0</v>
      </c>
      <c r="P111" s="296"/>
      <c r="Q111" s="296"/>
      <c r="R111" s="296"/>
      <c r="S111" s="296"/>
      <c r="T111" s="296"/>
    </row>
    <row r="112" spans="1:20" s="473" customFormat="1" ht="30">
      <c r="A112" s="469">
        <v>900</v>
      </c>
      <c r="B112" s="470" t="s">
        <v>39</v>
      </c>
      <c r="C112" s="298">
        <f>C114+C115+C116+C117+C118+C120+C119+C113</f>
        <v>5305615</v>
      </c>
      <c r="D112" s="299">
        <f>D114+D115+D116+D117+D118+D120+D119+D113</f>
        <v>3952247</v>
      </c>
      <c r="E112" s="299">
        <f t="shared" ref="E112:O112" si="41">E114+E115+E116+E117+E118+E120+E119+E113</f>
        <v>3471472</v>
      </c>
      <c r="F112" s="299">
        <f t="shared" si="41"/>
        <v>2203887</v>
      </c>
      <c r="G112" s="299">
        <f t="shared" si="41"/>
        <v>1267585</v>
      </c>
      <c r="H112" s="299">
        <f t="shared" si="41"/>
        <v>0</v>
      </c>
      <c r="I112" s="299">
        <f t="shared" si="41"/>
        <v>0</v>
      </c>
      <c r="J112" s="299">
        <f t="shared" si="41"/>
        <v>480775</v>
      </c>
      <c r="K112" s="299">
        <f t="shared" si="41"/>
        <v>0</v>
      </c>
      <c r="L112" s="299">
        <f t="shared" si="41"/>
        <v>1353368</v>
      </c>
      <c r="M112" s="299">
        <f t="shared" si="41"/>
        <v>353368</v>
      </c>
      <c r="N112" s="299">
        <f t="shared" si="41"/>
        <v>353368</v>
      </c>
      <c r="O112" s="299">
        <f t="shared" si="41"/>
        <v>1000000</v>
      </c>
      <c r="P112" s="472"/>
      <c r="Q112" s="472"/>
      <c r="R112" s="472"/>
      <c r="S112" s="472"/>
      <c r="T112" s="472"/>
    </row>
    <row r="113" spans="1:20" s="297" customFormat="1" ht="12.75" customHeight="1">
      <c r="A113" s="475">
        <v>90002</v>
      </c>
      <c r="B113" s="476" t="s">
        <v>98</v>
      </c>
      <c r="C113" s="294">
        <f t="shared" ref="C113:C120" si="42">D113+L113</f>
        <v>2000</v>
      </c>
      <c r="D113" s="295">
        <f t="shared" ref="D113:D120" si="43">E113+H113+I113+J113+K113</f>
        <v>2000</v>
      </c>
      <c r="E113" s="295">
        <f t="shared" ref="E113:E120" si="44">F113+G113</f>
        <v>2000</v>
      </c>
      <c r="F113" s="295">
        <v>2000</v>
      </c>
      <c r="G113" s="295">
        <v>0</v>
      </c>
      <c r="H113" s="295">
        <v>0</v>
      </c>
      <c r="I113" s="295">
        <v>0</v>
      </c>
      <c r="J113" s="295">
        <v>0</v>
      </c>
      <c r="K113" s="295">
        <v>0</v>
      </c>
      <c r="L113" s="295">
        <f>M113+O113</f>
        <v>0</v>
      </c>
      <c r="M113" s="295">
        <v>0</v>
      </c>
      <c r="N113" s="295">
        <v>0</v>
      </c>
      <c r="O113" s="295">
        <v>0</v>
      </c>
      <c r="P113" s="296"/>
      <c r="Q113" s="296"/>
      <c r="R113" s="296"/>
      <c r="S113" s="296"/>
      <c r="T113" s="296"/>
    </row>
    <row r="114" spans="1:20" s="297" customFormat="1" ht="12.75" customHeight="1">
      <c r="A114" s="475">
        <v>90005</v>
      </c>
      <c r="B114" s="476" t="s">
        <v>44</v>
      </c>
      <c r="C114" s="294">
        <f t="shared" si="42"/>
        <v>339000</v>
      </c>
      <c r="D114" s="295">
        <f t="shared" si="43"/>
        <v>339000</v>
      </c>
      <c r="E114" s="295">
        <f t="shared" si="44"/>
        <v>339000</v>
      </c>
      <c r="F114" s="295">
        <v>202000</v>
      </c>
      <c r="G114" s="295">
        <f>339000-202000</f>
        <v>137000</v>
      </c>
      <c r="H114" s="295">
        <v>0</v>
      </c>
      <c r="I114" s="295">
        <v>0</v>
      </c>
      <c r="J114" s="295">
        <v>0</v>
      </c>
      <c r="K114" s="295">
        <v>0</v>
      </c>
      <c r="L114" s="295">
        <f t="shared" ref="L114:L120" si="45">M114+O114</f>
        <v>0</v>
      </c>
      <c r="M114" s="295">
        <v>0</v>
      </c>
      <c r="N114" s="295">
        <v>0</v>
      </c>
      <c r="O114" s="295">
        <v>0</v>
      </c>
      <c r="P114" s="296"/>
      <c r="Q114" s="296"/>
      <c r="R114" s="296"/>
      <c r="S114" s="296"/>
      <c r="T114" s="296"/>
    </row>
    <row r="115" spans="1:20" s="297" customFormat="1" ht="12.75" customHeight="1">
      <c r="A115" s="475">
        <v>90007</v>
      </c>
      <c r="B115" s="476" t="s">
        <v>45</v>
      </c>
      <c r="C115" s="294">
        <f t="shared" si="42"/>
        <v>261950</v>
      </c>
      <c r="D115" s="295">
        <f t="shared" si="43"/>
        <v>261950</v>
      </c>
      <c r="E115" s="295">
        <f t="shared" si="44"/>
        <v>261950</v>
      </c>
      <c r="F115" s="295">
        <v>0</v>
      </c>
      <c r="G115" s="295">
        <v>261950</v>
      </c>
      <c r="H115" s="295">
        <v>0</v>
      </c>
      <c r="I115" s="295">
        <v>0</v>
      </c>
      <c r="J115" s="295">
        <v>0</v>
      </c>
      <c r="K115" s="295">
        <v>0</v>
      </c>
      <c r="L115" s="295">
        <f t="shared" si="45"/>
        <v>0</v>
      </c>
      <c r="M115" s="295">
        <v>0</v>
      </c>
      <c r="N115" s="295">
        <v>0</v>
      </c>
      <c r="O115" s="295">
        <v>0</v>
      </c>
      <c r="P115" s="296"/>
      <c r="Q115" s="296"/>
      <c r="R115" s="296"/>
      <c r="S115" s="296"/>
      <c r="T115" s="296"/>
    </row>
    <row r="116" spans="1:20" s="272" customFormat="1" ht="41.1" customHeight="1">
      <c r="A116" s="268">
        <v>90019</v>
      </c>
      <c r="B116" s="286" t="s">
        <v>91</v>
      </c>
      <c r="C116" s="270">
        <f t="shared" si="42"/>
        <v>910000</v>
      </c>
      <c r="D116" s="271">
        <f t="shared" si="43"/>
        <v>910000</v>
      </c>
      <c r="E116" s="271">
        <f t="shared" si="44"/>
        <v>910000</v>
      </c>
      <c r="F116" s="271">
        <v>843600</v>
      </c>
      <c r="G116" s="271">
        <f>910000-843600</f>
        <v>66400</v>
      </c>
      <c r="H116" s="271">
        <v>0</v>
      </c>
      <c r="I116" s="271">
        <v>0</v>
      </c>
      <c r="J116" s="271">
        <v>0</v>
      </c>
      <c r="K116" s="271">
        <v>0</v>
      </c>
      <c r="L116" s="271">
        <f t="shared" si="45"/>
        <v>0</v>
      </c>
      <c r="M116" s="271">
        <v>0</v>
      </c>
      <c r="N116" s="271">
        <v>0</v>
      </c>
      <c r="O116" s="271">
        <v>0</v>
      </c>
      <c r="P116" s="279"/>
      <c r="Q116" s="279"/>
      <c r="R116" s="279"/>
      <c r="S116" s="279"/>
      <c r="T116" s="279"/>
    </row>
    <row r="117" spans="1:20" s="272" customFormat="1" ht="27" customHeight="1">
      <c r="A117" s="268">
        <v>90020</v>
      </c>
      <c r="B117" s="286" t="s">
        <v>92</v>
      </c>
      <c r="C117" s="270">
        <f t="shared" si="42"/>
        <v>47500</v>
      </c>
      <c r="D117" s="271">
        <f t="shared" si="43"/>
        <v>47500</v>
      </c>
      <c r="E117" s="271">
        <f t="shared" si="44"/>
        <v>47500</v>
      </c>
      <c r="F117" s="271">
        <v>43200</v>
      </c>
      <c r="G117" s="271">
        <f>47500-43200</f>
        <v>4300</v>
      </c>
      <c r="H117" s="271">
        <v>0</v>
      </c>
      <c r="I117" s="271">
        <v>0</v>
      </c>
      <c r="J117" s="271">
        <v>0</v>
      </c>
      <c r="K117" s="271">
        <v>0</v>
      </c>
      <c r="L117" s="271">
        <f t="shared" si="45"/>
        <v>0</v>
      </c>
      <c r="M117" s="271">
        <v>0</v>
      </c>
      <c r="N117" s="271">
        <v>0</v>
      </c>
      <c r="O117" s="271">
        <v>0</v>
      </c>
      <c r="P117" s="279"/>
      <c r="Q117" s="279"/>
      <c r="R117" s="279"/>
      <c r="S117" s="279"/>
      <c r="T117" s="279"/>
    </row>
    <row r="118" spans="1:20" s="272" customFormat="1" ht="27" customHeight="1">
      <c r="A118" s="268">
        <v>90024</v>
      </c>
      <c r="B118" s="286" t="s">
        <v>398</v>
      </c>
      <c r="C118" s="270">
        <f t="shared" si="42"/>
        <v>1770</v>
      </c>
      <c r="D118" s="271">
        <f t="shared" si="43"/>
        <v>1770</v>
      </c>
      <c r="E118" s="271">
        <f t="shared" si="44"/>
        <v>1770</v>
      </c>
      <c r="F118" s="271">
        <v>0</v>
      </c>
      <c r="G118" s="271">
        <v>1770</v>
      </c>
      <c r="H118" s="271">
        <v>0</v>
      </c>
      <c r="I118" s="271">
        <v>0</v>
      </c>
      <c r="J118" s="271">
        <v>0</v>
      </c>
      <c r="K118" s="271">
        <v>0</v>
      </c>
      <c r="L118" s="271">
        <f t="shared" si="45"/>
        <v>0</v>
      </c>
      <c r="M118" s="271">
        <v>0</v>
      </c>
      <c r="N118" s="271">
        <v>0</v>
      </c>
      <c r="O118" s="271">
        <v>0</v>
      </c>
      <c r="P118" s="279"/>
      <c r="Q118" s="279"/>
      <c r="R118" s="279"/>
      <c r="S118" s="279"/>
      <c r="T118" s="279"/>
    </row>
    <row r="119" spans="1:20" s="272" customFormat="1" ht="27" customHeight="1">
      <c r="A119" s="268">
        <v>90026</v>
      </c>
      <c r="B119" s="286" t="s">
        <v>93</v>
      </c>
      <c r="C119" s="270">
        <f t="shared" si="42"/>
        <v>101010</v>
      </c>
      <c r="D119" s="271">
        <f t="shared" si="43"/>
        <v>101010</v>
      </c>
      <c r="E119" s="271">
        <f t="shared" si="44"/>
        <v>101010</v>
      </c>
      <c r="F119" s="271">
        <v>73450</v>
      </c>
      <c r="G119" s="271">
        <f>101010-73450</f>
        <v>27560</v>
      </c>
      <c r="H119" s="271">
        <v>0</v>
      </c>
      <c r="I119" s="271">
        <v>0</v>
      </c>
      <c r="J119" s="271">
        <v>0</v>
      </c>
      <c r="K119" s="271">
        <v>0</v>
      </c>
      <c r="L119" s="271">
        <f t="shared" si="45"/>
        <v>0</v>
      </c>
      <c r="M119" s="271">
        <v>0</v>
      </c>
      <c r="N119" s="271">
        <v>0</v>
      </c>
      <c r="O119" s="271">
        <v>0</v>
      </c>
      <c r="P119" s="279"/>
      <c r="Q119" s="279"/>
      <c r="R119" s="279"/>
      <c r="S119" s="279"/>
      <c r="T119" s="279"/>
    </row>
    <row r="120" spans="1:20" s="297" customFormat="1" ht="12.75" customHeight="1">
      <c r="A120" s="475">
        <v>90095</v>
      </c>
      <c r="B120" s="476" t="s">
        <v>46</v>
      </c>
      <c r="C120" s="294">
        <f t="shared" si="42"/>
        <v>3642385</v>
      </c>
      <c r="D120" s="295">
        <f t="shared" si="43"/>
        <v>2289017</v>
      </c>
      <c r="E120" s="295">
        <f t="shared" si="44"/>
        <v>1808242</v>
      </c>
      <c r="F120" s="295">
        <v>1039637</v>
      </c>
      <c r="G120" s="295">
        <f>3642385-2873780</f>
        <v>768605</v>
      </c>
      <c r="H120" s="295">
        <v>0</v>
      </c>
      <c r="I120" s="295">
        <v>0</v>
      </c>
      <c r="J120" s="295">
        <f>298220-N120+535923</f>
        <v>480775</v>
      </c>
      <c r="K120" s="295">
        <v>0</v>
      </c>
      <c r="L120" s="295">
        <f t="shared" si="45"/>
        <v>1353368</v>
      </c>
      <c r="M120" s="295">
        <v>353368</v>
      </c>
      <c r="N120" s="295">
        <v>353368</v>
      </c>
      <c r="O120" s="295">
        <v>1000000</v>
      </c>
      <c r="P120" s="296"/>
      <c r="Q120" s="296"/>
      <c r="R120" s="296"/>
      <c r="S120" s="296"/>
      <c r="T120" s="296"/>
    </row>
    <row r="121" spans="1:20" s="473" customFormat="1" ht="30">
      <c r="A121" s="469">
        <v>921</v>
      </c>
      <c r="B121" s="470" t="s">
        <v>41</v>
      </c>
      <c r="C121" s="471">
        <f>C123+C124+C125+C126+C127+C128+C129+C131+C130+C122</f>
        <v>269257186</v>
      </c>
      <c r="D121" s="299">
        <f>D123+D124+D125+D126+D127+D128+D129+D131+D130+D122</f>
        <v>160867612</v>
      </c>
      <c r="E121" s="299">
        <f t="shared" ref="E121:O121" si="46">E123+E124+E125+E126+E127+E128+E129+E131+E130+E122</f>
        <v>8025000</v>
      </c>
      <c r="F121" s="299">
        <f t="shared" si="46"/>
        <v>154000</v>
      </c>
      <c r="G121" s="299">
        <f t="shared" si="46"/>
        <v>7871000</v>
      </c>
      <c r="H121" s="299">
        <f t="shared" si="46"/>
        <v>152392612</v>
      </c>
      <c r="I121" s="299">
        <f t="shared" si="46"/>
        <v>450000</v>
      </c>
      <c r="J121" s="299">
        <f t="shared" si="46"/>
        <v>0</v>
      </c>
      <c r="K121" s="299">
        <f t="shared" si="46"/>
        <v>0</v>
      </c>
      <c r="L121" s="299">
        <f t="shared" si="46"/>
        <v>108389574</v>
      </c>
      <c r="M121" s="299">
        <f t="shared" si="46"/>
        <v>108389574</v>
      </c>
      <c r="N121" s="299">
        <f t="shared" si="46"/>
        <v>0</v>
      </c>
      <c r="O121" s="299">
        <f t="shared" si="46"/>
        <v>0</v>
      </c>
      <c r="P121" s="472"/>
      <c r="Q121" s="472"/>
      <c r="R121" s="472"/>
      <c r="S121" s="472"/>
      <c r="T121" s="472"/>
    </row>
    <row r="122" spans="1:20" s="297" customFormat="1" ht="12.75" customHeight="1">
      <c r="A122" s="475">
        <v>92105</v>
      </c>
      <c r="B122" s="476" t="s">
        <v>271</v>
      </c>
      <c r="C122" s="294">
        <f>D122+L122</f>
        <v>470000</v>
      </c>
      <c r="D122" s="295">
        <f>E122+H122+I122+J122+K122</f>
        <v>470000</v>
      </c>
      <c r="E122" s="295">
        <f>F122+G122</f>
        <v>0</v>
      </c>
      <c r="F122" s="295">
        <v>0</v>
      </c>
      <c r="G122" s="295">
        <v>0</v>
      </c>
      <c r="H122" s="295">
        <v>470000</v>
      </c>
      <c r="I122" s="295">
        <v>0</v>
      </c>
      <c r="J122" s="295">
        <v>0</v>
      </c>
      <c r="K122" s="295">
        <v>0</v>
      </c>
      <c r="L122" s="295">
        <f>M122+O122</f>
        <v>0</v>
      </c>
      <c r="M122" s="295">
        <v>0</v>
      </c>
      <c r="N122" s="295">
        <v>0</v>
      </c>
      <c r="O122" s="295">
        <v>0</v>
      </c>
      <c r="P122" s="296"/>
      <c r="Q122" s="296"/>
      <c r="R122" s="296"/>
      <c r="S122" s="296"/>
      <c r="T122" s="296"/>
    </row>
    <row r="123" spans="1:20" s="297" customFormat="1" ht="12.75" customHeight="1">
      <c r="A123" s="475">
        <v>92106</v>
      </c>
      <c r="B123" s="476" t="s">
        <v>399</v>
      </c>
      <c r="C123" s="294">
        <f t="shared" ref="C123:C131" si="47">D123+L123</f>
        <v>108287563</v>
      </c>
      <c r="D123" s="295">
        <f t="shared" ref="D123:D131" si="48">E123+H123+I123+J123+K123</f>
        <v>49392354</v>
      </c>
      <c r="E123" s="295">
        <f t="shared" ref="E123:E131" si="49">F123+G123</f>
        <v>0</v>
      </c>
      <c r="F123" s="295">
        <v>0</v>
      </c>
      <c r="G123" s="295">
        <v>0</v>
      </c>
      <c r="H123" s="295">
        <v>49392354</v>
      </c>
      <c r="I123" s="295">
        <v>0</v>
      </c>
      <c r="J123" s="295">
        <v>0</v>
      </c>
      <c r="K123" s="295">
        <v>0</v>
      </c>
      <c r="L123" s="295">
        <f t="shared" ref="L123:L131" si="50">M123+O123</f>
        <v>58895209</v>
      </c>
      <c r="M123" s="295">
        <v>58895209</v>
      </c>
      <c r="N123" s="295">
        <v>0</v>
      </c>
      <c r="O123" s="295">
        <v>0</v>
      </c>
      <c r="P123" s="296"/>
      <c r="Q123" s="296"/>
      <c r="R123" s="296"/>
      <c r="S123" s="296"/>
      <c r="T123" s="296"/>
    </row>
    <row r="124" spans="1:20" s="297" customFormat="1" ht="12.75" customHeight="1">
      <c r="A124" s="475">
        <v>92108</v>
      </c>
      <c r="B124" s="476" t="s">
        <v>400</v>
      </c>
      <c r="C124" s="294">
        <f t="shared" si="47"/>
        <v>30408568</v>
      </c>
      <c r="D124" s="295">
        <f t="shared" si="48"/>
        <v>16216000</v>
      </c>
      <c r="E124" s="295">
        <f t="shared" si="49"/>
        <v>0</v>
      </c>
      <c r="F124" s="295">
        <v>0</v>
      </c>
      <c r="G124" s="295">
        <v>0</v>
      </c>
      <c r="H124" s="295">
        <v>16216000</v>
      </c>
      <c r="I124" s="295">
        <v>0</v>
      </c>
      <c r="J124" s="295">
        <v>0</v>
      </c>
      <c r="K124" s="295">
        <v>0</v>
      </c>
      <c r="L124" s="295">
        <f t="shared" si="50"/>
        <v>14192568</v>
      </c>
      <c r="M124" s="295">
        <v>14192568</v>
      </c>
      <c r="N124" s="295">
        <v>0</v>
      </c>
      <c r="O124" s="295">
        <v>0</v>
      </c>
      <c r="P124" s="296"/>
      <c r="Q124" s="296"/>
      <c r="R124" s="296"/>
      <c r="S124" s="296"/>
      <c r="T124" s="296"/>
    </row>
    <row r="125" spans="1:20" s="297" customFormat="1" ht="12.75" customHeight="1">
      <c r="A125" s="475">
        <v>92109</v>
      </c>
      <c r="B125" s="476" t="s">
        <v>94</v>
      </c>
      <c r="C125" s="294">
        <f t="shared" si="47"/>
        <v>25186458</v>
      </c>
      <c r="D125" s="295">
        <f t="shared" si="48"/>
        <v>14703566</v>
      </c>
      <c r="E125" s="295">
        <f t="shared" si="49"/>
        <v>0</v>
      </c>
      <c r="F125" s="295">
        <v>0</v>
      </c>
      <c r="G125" s="295">
        <v>0</v>
      </c>
      <c r="H125" s="295">
        <v>14703566</v>
      </c>
      <c r="I125" s="295">
        <v>0</v>
      </c>
      <c r="J125" s="295">
        <v>0</v>
      </c>
      <c r="K125" s="295">
        <v>0</v>
      </c>
      <c r="L125" s="295">
        <f t="shared" si="50"/>
        <v>10482892</v>
      </c>
      <c r="M125" s="295">
        <v>10482892</v>
      </c>
      <c r="N125" s="295">
        <v>0</v>
      </c>
      <c r="O125" s="295">
        <v>0</v>
      </c>
      <c r="P125" s="296"/>
      <c r="Q125" s="296"/>
      <c r="R125" s="296"/>
      <c r="S125" s="296"/>
      <c r="T125" s="296"/>
    </row>
    <row r="126" spans="1:20" s="297" customFormat="1" ht="12.75" customHeight="1">
      <c r="A126" s="475">
        <v>92110</v>
      </c>
      <c r="B126" s="476" t="s">
        <v>401</v>
      </c>
      <c r="C126" s="294">
        <f t="shared" si="47"/>
        <v>4832193</v>
      </c>
      <c r="D126" s="295">
        <f t="shared" si="48"/>
        <v>4406240</v>
      </c>
      <c r="E126" s="295">
        <f t="shared" si="49"/>
        <v>0</v>
      </c>
      <c r="F126" s="295">
        <v>0</v>
      </c>
      <c r="G126" s="295">
        <v>0</v>
      </c>
      <c r="H126" s="295">
        <v>4406240</v>
      </c>
      <c r="I126" s="295">
        <v>0</v>
      </c>
      <c r="J126" s="295">
        <v>0</v>
      </c>
      <c r="K126" s="295">
        <v>0</v>
      </c>
      <c r="L126" s="295">
        <f t="shared" si="50"/>
        <v>425953</v>
      </c>
      <c r="M126" s="295">
        <v>425953</v>
      </c>
      <c r="N126" s="295">
        <v>0</v>
      </c>
      <c r="O126" s="295">
        <v>0</v>
      </c>
      <c r="P126" s="296"/>
      <c r="Q126" s="296"/>
      <c r="R126" s="296"/>
      <c r="S126" s="296"/>
      <c r="T126" s="296"/>
    </row>
    <row r="127" spans="1:20" s="297" customFormat="1" ht="12.75" customHeight="1">
      <c r="A127" s="475">
        <v>92113</v>
      </c>
      <c r="B127" s="476" t="s">
        <v>402</v>
      </c>
      <c r="C127" s="294">
        <f t="shared" si="47"/>
        <v>1609500</v>
      </c>
      <c r="D127" s="295">
        <f t="shared" si="48"/>
        <v>1609500</v>
      </c>
      <c r="E127" s="295">
        <f t="shared" si="49"/>
        <v>0</v>
      </c>
      <c r="F127" s="295">
        <v>0</v>
      </c>
      <c r="G127" s="295">
        <v>0</v>
      </c>
      <c r="H127" s="295">
        <v>1609500</v>
      </c>
      <c r="I127" s="295">
        <v>0</v>
      </c>
      <c r="J127" s="295">
        <v>0</v>
      </c>
      <c r="K127" s="295">
        <v>0</v>
      </c>
      <c r="L127" s="295">
        <f t="shared" si="50"/>
        <v>0</v>
      </c>
      <c r="M127" s="295">
        <v>0</v>
      </c>
      <c r="N127" s="295">
        <v>0</v>
      </c>
      <c r="O127" s="295">
        <v>0</v>
      </c>
      <c r="P127" s="296"/>
      <c r="Q127" s="296"/>
      <c r="R127" s="296"/>
      <c r="S127" s="296"/>
      <c r="T127" s="296"/>
    </row>
    <row r="128" spans="1:20" s="297" customFormat="1" ht="12.75" customHeight="1">
      <c r="A128" s="475">
        <v>92116</v>
      </c>
      <c r="B128" s="476" t="s">
        <v>95</v>
      </c>
      <c r="C128" s="294">
        <f t="shared" si="47"/>
        <v>55816905</v>
      </c>
      <c r="D128" s="295">
        <f t="shared" si="48"/>
        <v>33399052</v>
      </c>
      <c r="E128" s="295">
        <f t="shared" si="49"/>
        <v>0</v>
      </c>
      <c r="F128" s="295">
        <v>0</v>
      </c>
      <c r="G128" s="295">
        <v>0</v>
      </c>
      <c r="H128" s="295">
        <v>33399052</v>
      </c>
      <c r="I128" s="295">
        <v>0</v>
      </c>
      <c r="J128" s="295">
        <v>0</v>
      </c>
      <c r="K128" s="295">
        <v>0</v>
      </c>
      <c r="L128" s="295">
        <f t="shared" si="50"/>
        <v>22417853</v>
      </c>
      <c r="M128" s="295">
        <v>22417853</v>
      </c>
      <c r="N128" s="295">
        <v>0</v>
      </c>
      <c r="O128" s="295">
        <v>0</v>
      </c>
      <c r="P128" s="296"/>
      <c r="Q128" s="296"/>
      <c r="R128" s="296"/>
      <c r="S128" s="296"/>
      <c r="T128" s="296"/>
    </row>
    <row r="129" spans="1:20" s="297" customFormat="1" ht="12.75" customHeight="1">
      <c r="A129" s="475">
        <v>92118</v>
      </c>
      <c r="B129" s="476" t="s">
        <v>403</v>
      </c>
      <c r="C129" s="294">
        <f t="shared" si="47"/>
        <v>26525999</v>
      </c>
      <c r="D129" s="295">
        <f t="shared" si="48"/>
        <v>24550900</v>
      </c>
      <c r="E129" s="295">
        <f t="shared" si="49"/>
        <v>0</v>
      </c>
      <c r="F129" s="295">
        <v>0</v>
      </c>
      <c r="G129" s="295">
        <v>0</v>
      </c>
      <c r="H129" s="295">
        <v>24550900</v>
      </c>
      <c r="I129" s="295">
        <v>0</v>
      </c>
      <c r="J129" s="295">
        <v>0</v>
      </c>
      <c r="K129" s="295">
        <v>0</v>
      </c>
      <c r="L129" s="295">
        <f t="shared" si="50"/>
        <v>1975099</v>
      </c>
      <c r="M129" s="295">
        <v>1975099</v>
      </c>
      <c r="N129" s="295">
        <v>0</v>
      </c>
      <c r="O129" s="295">
        <v>0</v>
      </c>
      <c r="P129" s="296"/>
      <c r="Q129" s="296"/>
      <c r="R129" s="296"/>
      <c r="S129" s="296"/>
      <c r="T129" s="296"/>
    </row>
    <row r="130" spans="1:20" s="297" customFormat="1" ht="12.75" customHeight="1">
      <c r="A130" s="475">
        <v>92120</v>
      </c>
      <c r="B130" s="476" t="s">
        <v>404</v>
      </c>
      <c r="C130" s="294">
        <f t="shared" si="47"/>
        <v>2000000</v>
      </c>
      <c r="D130" s="295">
        <f t="shared" si="48"/>
        <v>2000000</v>
      </c>
      <c r="E130" s="295">
        <f t="shared" si="49"/>
        <v>155000</v>
      </c>
      <c r="F130" s="295">
        <v>55000</v>
      </c>
      <c r="G130" s="295">
        <v>100000</v>
      </c>
      <c r="H130" s="295">
        <v>1845000</v>
      </c>
      <c r="I130" s="295">
        <v>0</v>
      </c>
      <c r="J130" s="295">
        <v>0</v>
      </c>
      <c r="K130" s="295">
        <v>0</v>
      </c>
      <c r="L130" s="295">
        <f t="shared" si="50"/>
        <v>0</v>
      </c>
      <c r="M130" s="295">
        <v>0</v>
      </c>
      <c r="N130" s="295">
        <v>0</v>
      </c>
      <c r="O130" s="295">
        <v>0</v>
      </c>
      <c r="P130" s="296"/>
      <c r="Q130" s="296"/>
      <c r="R130" s="296"/>
      <c r="S130" s="296"/>
      <c r="T130" s="296"/>
    </row>
    <row r="131" spans="1:20" s="297" customFormat="1" ht="12.75" customHeight="1">
      <c r="A131" s="475">
        <v>92195</v>
      </c>
      <c r="B131" s="476" t="s">
        <v>46</v>
      </c>
      <c r="C131" s="294">
        <f t="shared" si="47"/>
        <v>14120000</v>
      </c>
      <c r="D131" s="295">
        <f t="shared" si="48"/>
        <v>14120000</v>
      </c>
      <c r="E131" s="295">
        <f t="shared" si="49"/>
        <v>7870000</v>
      </c>
      <c r="F131" s="295">
        <v>99000</v>
      </c>
      <c r="G131" s="295">
        <f>14120000-6349000</f>
        <v>7771000</v>
      </c>
      <c r="H131" s="295">
        <v>5800000</v>
      </c>
      <c r="I131" s="295">
        <v>450000</v>
      </c>
      <c r="J131" s="295">
        <v>0</v>
      </c>
      <c r="K131" s="295">
        <v>0</v>
      </c>
      <c r="L131" s="295">
        <f t="shared" si="50"/>
        <v>0</v>
      </c>
      <c r="M131" s="295">
        <v>0</v>
      </c>
      <c r="N131" s="295">
        <v>0</v>
      </c>
      <c r="O131" s="295">
        <v>0</v>
      </c>
      <c r="P131" s="296"/>
      <c r="Q131" s="296"/>
      <c r="R131" s="296"/>
      <c r="S131" s="296"/>
      <c r="T131" s="296"/>
    </row>
    <row r="132" spans="1:20" s="473" customFormat="1" ht="45">
      <c r="A132" s="469">
        <v>925</v>
      </c>
      <c r="B132" s="470" t="s">
        <v>96</v>
      </c>
      <c r="C132" s="298">
        <f t="shared" ref="C132:O132" si="51">C133</f>
        <v>7746472</v>
      </c>
      <c r="D132" s="299">
        <f t="shared" si="51"/>
        <v>7653459</v>
      </c>
      <c r="E132" s="299">
        <f t="shared" si="51"/>
        <v>7511698</v>
      </c>
      <c r="F132" s="299">
        <f t="shared" si="51"/>
        <v>5740115</v>
      </c>
      <c r="G132" s="299">
        <f t="shared" si="51"/>
        <v>1771583</v>
      </c>
      <c r="H132" s="299">
        <f t="shared" si="51"/>
        <v>0</v>
      </c>
      <c r="I132" s="299">
        <f t="shared" si="51"/>
        <v>141761</v>
      </c>
      <c r="J132" s="299">
        <f t="shared" si="51"/>
        <v>0</v>
      </c>
      <c r="K132" s="299">
        <f t="shared" si="51"/>
        <v>0</v>
      </c>
      <c r="L132" s="299">
        <f t="shared" si="51"/>
        <v>93013</v>
      </c>
      <c r="M132" s="299">
        <f t="shared" si="51"/>
        <v>93013</v>
      </c>
      <c r="N132" s="299">
        <f>N133</f>
        <v>0</v>
      </c>
      <c r="O132" s="299">
        <f t="shared" si="51"/>
        <v>0</v>
      </c>
      <c r="P132" s="472"/>
      <c r="Q132" s="472"/>
      <c r="R132" s="472"/>
      <c r="S132" s="472"/>
      <c r="T132" s="472"/>
    </row>
    <row r="133" spans="1:20" s="297" customFormat="1" ht="12.75" customHeight="1">
      <c r="A133" s="475">
        <v>92502</v>
      </c>
      <c r="B133" s="476" t="s">
        <v>97</v>
      </c>
      <c r="C133" s="294">
        <f>D133+L133</f>
        <v>7746472</v>
      </c>
      <c r="D133" s="295">
        <f>E133+H133+I133+J133+K133</f>
        <v>7653459</v>
      </c>
      <c r="E133" s="295">
        <f>F133+G133</f>
        <v>7511698</v>
      </c>
      <c r="F133" s="295">
        <v>5740115</v>
      </c>
      <c r="G133" s="295">
        <f>7746472-5974889</f>
        <v>1771583</v>
      </c>
      <c r="H133" s="295">
        <v>0</v>
      </c>
      <c r="I133" s="295">
        <v>141761</v>
      </c>
      <c r="J133" s="295">
        <v>0</v>
      </c>
      <c r="K133" s="295">
        <v>0</v>
      </c>
      <c r="L133" s="295">
        <f>M133+O133</f>
        <v>93013</v>
      </c>
      <c r="M133" s="295">
        <v>93013</v>
      </c>
      <c r="N133" s="295">
        <v>0</v>
      </c>
      <c r="O133" s="295">
        <v>0</v>
      </c>
      <c r="P133" s="296"/>
      <c r="Q133" s="296"/>
      <c r="R133" s="296"/>
      <c r="S133" s="296"/>
      <c r="T133" s="296"/>
    </row>
    <row r="134" spans="1:20" s="292" customFormat="1" ht="14.1" customHeight="1">
      <c r="A134" s="280">
        <v>926</v>
      </c>
      <c r="B134" s="281" t="s">
        <v>405</v>
      </c>
      <c r="C134" s="282">
        <f t="shared" ref="C134:O134" si="52">C135</f>
        <v>22800000</v>
      </c>
      <c r="D134" s="283">
        <f t="shared" si="52"/>
        <v>12300000</v>
      </c>
      <c r="E134" s="283">
        <f t="shared" si="52"/>
        <v>3840000</v>
      </c>
      <c r="F134" s="283">
        <f t="shared" si="52"/>
        <v>5000</v>
      </c>
      <c r="G134" s="283">
        <f t="shared" si="52"/>
        <v>3835000</v>
      </c>
      <c r="H134" s="283">
        <f t="shared" si="52"/>
        <v>7850000</v>
      </c>
      <c r="I134" s="283">
        <f t="shared" si="52"/>
        <v>610000</v>
      </c>
      <c r="J134" s="283">
        <f t="shared" si="52"/>
        <v>0</v>
      </c>
      <c r="K134" s="283">
        <f t="shared" si="52"/>
        <v>0</v>
      </c>
      <c r="L134" s="283">
        <f t="shared" si="52"/>
        <v>10500000</v>
      </c>
      <c r="M134" s="283">
        <f t="shared" si="52"/>
        <v>10500000</v>
      </c>
      <c r="N134" s="283">
        <f>N135</f>
        <v>0</v>
      </c>
      <c r="O134" s="283">
        <f t="shared" si="52"/>
        <v>0</v>
      </c>
      <c r="P134" s="291"/>
      <c r="Q134" s="291"/>
      <c r="R134" s="291"/>
      <c r="S134" s="291"/>
      <c r="T134" s="291"/>
    </row>
    <row r="135" spans="1:20" s="297" customFormat="1" ht="12.75" customHeight="1">
      <c r="A135" s="475">
        <v>92605</v>
      </c>
      <c r="B135" s="476" t="s">
        <v>406</v>
      </c>
      <c r="C135" s="294">
        <f>D135+L135</f>
        <v>22800000</v>
      </c>
      <c r="D135" s="295">
        <f>E135+H135+I135+J135+K135</f>
        <v>12300000</v>
      </c>
      <c r="E135" s="295">
        <f>F135+G135</f>
        <v>3840000</v>
      </c>
      <c r="F135" s="295">
        <v>5000</v>
      </c>
      <c r="G135" s="295">
        <f>22800000-18965000</f>
        <v>3835000</v>
      </c>
      <c r="H135" s="295">
        <v>7850000</v>
      </c>
      <c r="I135" s="295">
        <v>610000</v>
      </c>
      <c r="J135" s="295">
        <v>0</v>
      </c>
      <c r="K135" s="295">
        <v>0</v>
      </c>
      <c r="L135" s="295">
        <f>M135+O135</f>
        <v>10500000</v>
      </c>
      <c r="M135" s="295">
        <v>10500000</v>
      </c>
      <c r="N135" s="295">
        <v>0</v>
      </c>
      <c r="O135" s="295">
        <v>0</v>
      </c>
      <c r="P135" s="296"/>
      <c r="Q135" s="296"/>
      <c r="R135" s="296"/>
      <c r="S135" s="296"/>
      <c r="T135" s="296"/>
    </row>
    <row r="136" spans="1:20" s="272" customFormat="1" ht="8.1" customHeight="1">
      <c r="A136" s="268"/>
      <c r="B136" s="278"/>
      <c r="C136" s="270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9"/>
      <c r="Q136" s="279"/>
      <c r="R136" s="279"/>
      <c r="S136" s="279"/>
      <c r="T136" s="279"/>
    </row>
    <row r="137" spans="1:20" s="277" customFormat="1" ht="14.1" customHeight="1">
      <c r="A137" s="273"/>
      <c r="B137" s="300" t="s">
        <v>316</v>
      </c>
      <c r="C137" s="474">
        <f t="shared" ref="C137:O137" si="53">C14</f>
        <v>1832773587</v>
      </c>
      <c r="D137" s="474">
        <f t="shared" si="53"/>
        <v>1146255698</v>
      </c>
      <c r="E137" s="474">
        <f t="shared" si="53"/>
        <v>508347366</v>
      </c>
      <c r="F137" s="474">
        <f t="shared" si="53"/>
        <v>241241128</v>
      </c>
      <c r="G137" s="474">
        <f t="shared" si="53"/>
        <v>267106238</v>
      </c>
      <c r="H137" s="474">
        <f t="shared" si="53"/>
        <v>439585012</v>
      </c>
      <c r="I137" s="474">
        <f t="shared" si="53"/>
        <v>4303965</v>
      </c>
      <c r="J137" s="474">
        <f t="shared" si="53"/>
        <v>122386197</v>
      </c>
      <c r="K137" s="474">
        <f t="shared" si="53"/>
        <v>71633158</v>
      </c>
      <c r="L137" s="474">
        <f t="shared" si="53"/>
        <v>686517889</v>
      </c>
      <c r="M137" s="474">
        <f t="shared" si="53"/>
        <v>641517911</v>
      </c>
      <c r="N137" s="474">
        <f t="shared" si="53"/>
        <v>144360631</v>
      </c>
      <c r="O137" s="474">
        <f t="shared" si="53"/>
        <v>44999978</v>
      </c>
      <c r="P137" s="276"/>
      <c r="Q137" s="276"/>
      <c r="R137" s="276"/>
      <c r="S137" s="276"/>
      <c r="T137" s="276"/>
    </row>
    <row r="138" spans="1:20" ht="9" customHeight="1">
      <c r="B138" s="301"/>
      <c r="P138" s="301"/>
      <c r="Q138" s="301"/>
      <c r="R138" s="301"/>
      <c r="S138" s="301"/>
      <c r="T138" s="301"/>
    </row>
    <row r="139" spans="1:20">
      <c r="A139" s="302"/>
      <c r="C139" s="303"/>
      <c r="D139" s="303"/>
      <c r="E139" s="303"/>
      <c r="F139" s="303"/>
      <c r="G139" s="303"/>
      <c r="H139" s="303"/>
      <c r="I139" s="303"/>
      <c r="J139" s="303"/>
      <c r="K139" s="303"/>
      <c r="L139" s="303"/>
      <c r="M139" s="303"/>
      <c r="N139" s="303"/>
      <c r="O139" s="303"/>
    </row>
    <row r="140" spans="1:20">
      <c r="A140" s="302"/>
      <c r="C140" s="303"/>
      <c r="D140" s="303"/>
      <c r="E140" s="303"/>
      <c r="F140" s="303"/>
      <c r="G140" s="303"/>
      <c r="H140" s="303"/>
      <c r="I140" s="303"/>
      <c r="J140" s="303"/>
      <c r="K140" s="303"/>
      <c r="L140" s="303"/>
      <c r="M140" s="303"/>
      <c r="N140" s="303"/>
      <c r="O140" s="303"/>
      <c r="P140" s="279"/>
    </row>
    <row r="141" spans="1:20">
      <c r="A141" s="302"/>
      <c r="C141" s="303"/>
      <c r="D141" s="303"/>
      <c r="E141" s="303"/>
      <c r="F141" s="303"/>
      <c r="G141" s="303"/>
      <c r="H141" s="303"/>
      <c r="I141" s="303"/>
      <c r="J141" s="303"/>
      <c r="K141" s="303"/>
      <c r="L141" s="303"/>
      <c r="M141" s="303"/>
      <c r="N141" s="303"/>
      <c r="O141" s="303"/>
    </row>
    <row r="142" spans="1:20">
      <c r="A142" s="302"/>
      <c r="C142" s="303"/>
      <c r="D142" s="303"/>
      <c r="E142" s="303"/>
      <c r="F142" s="303"/>
      <c r="G142" s="303"/>
      <c r="H142" s="303"/>
      <c r="I142" s="303"/>
      <c r="J142" s="303"/>
      <c r="K142" s="303"/>
      <c r="L142" s="303"/>
      <c r="M142" s="303"/>
      <c r="N142" s="303"/>
      <c r="O142" s="303"/>
    </row>
  </sheetData>
  <sheetProtection algorithmName="SHA-512" hashValue="GwmRAnIG8m6l2KLfVVyaDEpn4G2pQA0okrPAxrsQ44tScRpfkrCniHurlQMw+iJIWq2EHaxEaZJomtZZcf/05g==" saltValue="fb4ePEwMeyer2fWqftDI7g==" spinCount="100000" sheet="1" objects="1" scenarios="1"/>
  <mergeCells count="18">
    <mergeCell ref="A4:O4"/>
    <mergeCell ref="A5:O5"/>
    <mergeCell ref="A8:A11"/>
    <mergeCell ref="B8:B11"/>
    <mergeCell ref="C8:C11"/>
    <mergeCell ref="D8:O8"/>
    <mergeCell ref="D9:D11"/>
    <mergeCell ref="E9:K9"/>
    <mergeCell ref="L9:L11"/>
    <mergeCell ref="M9:O9"/>
    <mergeCell ref="M10:M11"/>
    <mergeCell ref="O10:O11"/>
    <mergeCell ref="E10:E11"/>
    <mergeCell ref="F10:G10"/>
    <mergeCell ref="H10:H11"/>
    <mergeCell ref="I10:I11"/>
    <mergeCell ref="J10:J11"/>
    <mergeCell ref="K10:K11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34"/>
  <sheetViews>
    <sheetView view="pageBreakPreview" zoomScaleNormal="100" zoomScaleSheetLayoutView="100" workbookViewId="0">
      <selection activeCell="C28" sqref="C28"/>
    </sheetView>
  </sheetViews>
  <sheetFormatPr defaultRowHeight="12.75"/>
  <cols>
    <col min="1" max="1" width="10.125" style="516" customWidth="1"/>
    <col min="2" max="2" width="9.375" style="517" customWidth="1"/>
    <col min="3" max="3" width="64.25" style="507" customWidth="1"/>
    <col min="4" max="4" width="15.125" style="518" customWidth="1"/>
    <col min="5" max="250" width="9" style="489"/>
    <col min="251" max="251" width="10.125" style="489" customWidth="1"/>
    <col min="252" max="252" width="9.375" style="489" customWidth="1"/>
    <col min="253" max="253" width="62.5" style="489" customWidth="1"/>
    <col min="254" max="254" width="15.125" style="489" customWidth="1"/>
    <col min="255" max="506" width="9" style="489"/>
    <col min="507" max="507" width="10.125" style="489" customWidth="1"/>
    <col min="508" max="508" width="9.375" style="489" customWidth="1"/>
    <col min="509" max="509" width="62.5" style="489" customWidth="1"/>
    <col min="510" max="510" width="15.125" style="489" customWidth="1"/>
    <col min="511" max="762" width="9" style="489"/>
    <col min="763" max="763" width="10.125" style="489" customWidth="1"/>
    <col min="764" max="764" width="9.375" style="489" customWidth="1"/>
    <col min="765" max="765" width="62.5" style="489" customWidth="1"/>
    <col min="766" max="766" width="15.125" style="489" customWidth="1"/>
    <col min="767" max="1018" width="9" style="489"/>
    <col min="1019" max="1019" width="10.125" style="489" customWidth="1"/>
    <col min="1020" max="1020" width="9.375" style="489" customWidth="1"/>
    <col min="1021" max="1021" width="62.5" style="489" customWidth="1"/>
    <col min="1022" max="1022" width="15.125" style="489" customWidth="1"/>
    <col min="1023" max="1274" width="9" style="489"/>
    <col min="1275" max="1275" width="10.125" style="489" customWidth="1"/>
    <col min="1276" max="1276" width="9.375" style="489" customWidth="1"/>
    <col min="1277" max="1277" width="62.5" style="489" customWidth="1"/>
    <col min="1278" max="1278" width="15.125" style="489" customWidth="1"/>
    <col min="1279" max="1530" width="9" style="489"/>
    <col min="1531" max="1531" width="10.125" style="489" customWidth="1"/>
    <col min="1532" max="1532" width="9.375" style="489" customWidth="1"/>
    <col min="1533" max="1533" width="62.5" style="489" customWidth="1"/>
    <col min="1534" max="1534" width="15.125" style="489" customWidth="1"/>
    <col min="1535" max="1786" width="9" style="489"/>
    <col min="1787" max="1787" width="10.125" style="489" customWidth="1"/>
    <col min="1788" max="1788" width="9.375" style="489" customWidth="1"/>
    <col min="1789" max="1789" width="62.5" style="489" customWidth="1"/>
    <col min="1790" max="1790" width="15.125" style="489" customWidth="1"/>
    <col min="1791" max="2042" width="9" style="489"/>
    <col min="2043" max="2043" width="10.125" style="489" customWidth="1"/>
    <col min="2044" max="2044" width="9.375" style="489" customWidth="1"/>
    <col min="2045" max="2045" width="62.5" style="489" customWidth="1"/>
    <col min="2046" max="2046" width="15.125" style="489" customWidth="1"/>
    <col min="2047" max="2298" width="9" style="489"/>
    <col min="2299" max="2299" width="10.125" style="489" customWidth="1"/>
    <col min="2300" max="2300" width="9.375" style="489" customWidth="1"/>
    <col min="2301" max="2301" width="62.5" style="489" customWidth="1"/>
    <col min="2302" max="2302" width="15.125" style="489" customWidth="1"/>
    <col min="2303" max="2554" width="9" style="489"/>
    <col min="2555" max="2555" width="10.125" style="489" customWidth="1"/>
    <col min="2556" max="2556" width="9.375" style="489" customWidth="1"/>
    <col min="2557" max="2557" width="62.5" style="489" customWidth="1"/>
    <col min="2558" max="2558" width="15.125" style="489" customWidth="1"/>
    <col min="2559" max="2810" width="9" style="489"/>
    <col min="2811" max="2811" width="10.125" style="489" customWidth="1"/>
    <col min="2812" max="2812" width="9.375" style="489" customWidth="1"/>
    <col min="2813" max="2813" width="62.5" style="489" customWidth="1"/>
    <col min="2814" max="2814" width="15.125" style="489" customWidth="1"/>
    <col min="2815" max="3066" width="9" style="489"/>
    <col min="3067" max="3067" width="10.125" style="489" customWidth="1"/>
    <col min="3068" max="3068" width="9.375" style="489" customWidth="1"/>
    <col min="3069" max="3069" width="62.5" style="489" customWidth="1"/>
    <col min="3070" max="3070" width="15.125" style="489" customWidth="1"/>
    <col min="3071" max="3322" width="9" style="489"/>
    <col min="3323" max="3323" width="10.125" style="489" customWidth="1"/>
    <col min="3324" max="3324" width="9.375" style="489" customWidth="1"/>
    <col min="3325" max="3325" width="62.5" style="489" customWidth="1"/>
    <col min="3326" max="3326" width="15.125" style="489" customWidth="1"/>
    <col min="3327" max="3578" width="9" style="489"/>
    <col min="3579" max="3579" width="10.125" style="489" customWidth="1"/>
    <col min="3580" max="3580" width="9.375" style="489" customWidth="1"/>
    <col min="3581" max="3581" width="62.5" style="489" customWidth="1"/>
    <col min="3582" max="3582" width="15.125" style="489" customWidth="1"/>
    <col min="3583" max="3834" width="9" style="489"/>
    <col min="3835" max="3835" width="10.125" style="489" customWidth="1"/>
    <col min="3836" max="3836" width="9.375" style="489" customWidth="1"/>
    <col min="3837" max="3837" width="62.5" style="489" customWidth="1"/>
    <col min="3838" max="3838" width="15.125" style="489" customWidth="1"/>
    <col min="3839" max="4090" width="9" style="489"/>
    <col min="4091" max="4091" width="10.125" style="489" customWidth="1"/>
    <col min="4092" max="4092" width="9.375" style="489" customWidth="1"/>
    <col min="4093" max="4093" width="62.5" style="489" customWidth="1"/>
    <col min="4094" max="4094" width="15.125" style="489" customWidth="1"/>
    <col min="4095" max="4346" width="9" style="489"/>
    <col min="4347" max="4347" width="10.125" style="489" customWidth="1"/>
    <col min="4348" max="4348" width="9.375" style="489" customWidth="1"/>
    <col min="4349" max="4349" width="62.5" style="489" customWidth="1"/>
    <col min="4350" max="4350" width="15.125" style="489" customWidth="1"/>
    <col min="4351" max="4602" width="9" style="489"/>
    <col min="4603" max="4603" width="10.125" style="489" customWidth="1"/>
    <col min="4604" max="4604" width="9.375" style="489" customWidth="1"/>
    <col min="4605" max="4605" width="62.5" style="489" customWidth="1"/>
    <col min="4606" max="4606" width="15.125" style="489" customWidth="1"/>
    <col min="4607" max="4858" width="9" style="489"/>
    <col min="4859" max="4859" width="10.125" style="489" customWidth="1"/>
    <col min="4860" max="4860" width="9.375" style="489" customWidth="1"/>
    <col min="4861" max="4861" width="62.5" style="489" customWidth="1"/>
    <col min="4862" max="4862" width="15.125" style="489" customWidth="1"/>
    <col min="4863" max="5114" width="9" style="489"/>
    <col min="5115" max="5115" width="10.125" style="489" customWidth="1"/>
    <col min="5116" max="5116" width="9.375" style="489" customWidth="1"/>
    <col min="5117" max="5117" width="62.5" style="489" customWidth="1"/>
    <col min="5118" max="5118" width="15.125" style="489" customWidth="1"/>
    <col min="5119" max="5370" width="9" style="489"/>
    <col min="5371" max="5371" width="10.125" style="489" customWidth="1"/>
    <col min="5372" max="5372" width="9.375" style="489" customWidth="1"/>
    <col min="5373" max="5373" width="62.5" style="489" customWidth="1"/>
    <col min="5374" max="5374" width="15.125" style="489" customWidth="1"/>
    <col min="5375" max="5626" width="9" style="489"/>
    <col min="5627" max="5627" width="10.125" style="489" customWidth="1"/>
    <col min="5628" max="5628" width="9.375" style="489" customWidth="1"/>
    <col min="5629" max="5629" width="62.5" style="489" customWidth="1"/>
    <col min="5630" max="5630" width="15.125" style="489" customWidth="1"/>
    <col min="5631" max="5882" width="9" style="489"/>
    <col min="5883" max="5883" width="10.125" style="489" customWidth="1"/>
    <col min="5884" max="5884" width="9.375" style="489" customWidth="1"/>
    <col min="5885" max="5885" width="62.5" style="489" customWidth="1"/>
    <col min="5886" max="5886" width="15.125" style="489" customWidth="1"/>
    <col min="5887" max="6138" width="9" style="489"/>
    <col min="6139" max="6139" width="10.125" style="489" customWidth="1"/>
    <col min="6140" max="6140" width="9.375" style="489" customWidth="1"/>
    <col min="6141" max="6141" width="62.5" style="489" customWidth="1"/>
    <col min="6142" max="6142" width="15.125" style="489" customWidth="1"/>
    <col min="6143" max="6394" width="9" style="489"/>
    <col min="6395" max="6395" width="10.125" style="489" customWidth="1"/>
    <col min="6396" max="6396" width="9.375" style="489" customWidth="1"/>
    <col min="6397" max="6397" width="62.5" style="489" customWidth="1"/>
    <col min="6398" max="6398" width="15.125" style="489" customWidth="1"/>
    <col min="6399" max="6650" width="9" style="489"/>
    <col min="6651" max="6651" width="10.125" style="489" customWidth="1"/>
    <col min="6652" max="6652" width="9.375" style="489" customWidth="1"/>
    <col min="6653" max="6653" width="62.5" style="489" customWidth="1"/>
    <col min="6654" max="6654" width="15.125" style="489" customWidth="1"/>
    <col min="6655" max="6906" width="9" style="489"/>
    <col min="6907" max="6907" width="10.125" style="489" customWidth="1"/>
    <col min="6908" max="6908" width="9.375" style="489" customWidth="1"/>
    <col min="6909" max="6909" width="62.5" style="489" customWidth="1"/>
    <col min="6910" max="6910" width="15.125" style="489" customWidth="1"/>
    <col min="6911" max="7162" width="9" style="489"/>
    <col min="7163" max="7163" width="10.125" style="489" customWidth="1"/>
    <col min="7164" max="7164" width="9.375" style="489" customWidth="1"/>
    <col min="7165" max="7165" width="62.5" style="489" customWidth="1"/>
    <col min="7166" max="7166" width="15.125" style="489" customWidth="1"/>
    <col min="7167" max="7418" width="9" style="489"/>
    <col min="7419" max="7419" width="10.125" style="489" customWidth="1"/>
    <col min="7420" max="7420" width="9.375" style="489" customWidth="1"/>
    <col min="7421" max="7421" width="62.5" style="489" customWidth="1"/>
    <col min="7422" max="7422" width="15.125" style="489" customWidth="1"/>
    <col min="7423" max="7674" width="9" style="489"/>
    <col min="7675" max="7675" width="10.125" style="489" customWidth="1"/>
    <col min="7676" max="7676" width="9.375" style="489" customWidth="1"/>
    <col min="7677" max="7677" width="62.5" style="489" customWidth="1"/>
    <col min="7678" max="7678" width="15.125" style="489" customWidth="1"/>
    <col min="7679" max="7930" width="9" style="489"/>
    <col min="7931" max="7931" width="10.125" style="489" customWidth="1"/>
    <col min="7932" max="7932" width="9.375" style="489" customWidth="1"/>
    <col min="7933" max="7933" width="62.5" style="489" customWidth="1"/>
    <col min="7934" max="7934" width="15.125" style="489" customWidth="1"/>
    <col min="7935" max="8186" width="9" style="489"/>
    <col min="8187" max="8187" width="10.125" style="489" customWidth="1"/>
    <col min="8188" max="8188" width="9.375" style="489" customWidth="1"/>
    <col min="8189" max="8189" width="62.5" style="489" customWidth="1"/>
    <col min="8190" max="8190" width="15.125" style="489" customWidth="1"/>
    <col min="8191" max="8442" width="9" style="489"/>
    <col min="8443" max="8443" width="10.125" style="489" customWidth="1"/>
    <col min="8444" max="8444" width="9.375" style="489" customWidth="1"/>
    <col min="8445" max="8445" width="62.5" style="489" customWidth="1"/>
    <col min="8446" max="8446" width="15.125" style="489" customWidth="1"/>
    <col min="8447" max="8698" width="9" style="489"/>
    <col min="8699" max="8699" width="10.125" style="489" customWidth="1"/>
    <col min="8700" max="8700" width="9.375" style="489" customWidth="1"/>
    <col min="8701" max="8701" width="62.5" style="489" customWidth="1"/>
    <col min="8702" max="8702" width="15.125" style="489" customWidth="1"/>
    <col min="8703" max="8954" width="9" style="489"/>
    <col min="8955" max="8955" width="10.125" style="489" customWidth="1"/>
    <col min="8956" max="8956" width="9.375" style="489" customWidth="1"/>
    <col min="8957" max="8957" width="62.5" style="489" customWidth="1"/>
    <col min="8958" max="8958" width="15.125" style="489" customWidth="1"/>
    <col min="8959" max="9210" width="9" style="489"/>
    <col min="9211" max="9211" width="10.125" style="489" customWidth="1"/>
    <col min="9212" max="9212" width="9.375" style="489" customWidth="1"/>
    <col min="9213" max="9213" width="62.5" style="489" customWidth="1"/>
    <col min="9214" max="9214" width="15.125" style="489" customWidth="1"/>
    <col min="9215" max="9466" width="9" style="489"/>
    <col min="9467" max="9467" width="10.125" style="489" customWidth="1"/>
    <col min="9468" max="9468" width="9.375" style="489" customWidth="1"/>
    <col min="9469" max="9469" width="62.5" style="489" customWidth="1"/>
    <col min="9470" max="9470" width="15.125" style="489" customWidth="1"/>
    <col min="9471" max="9722" width="9" style="489"/>
    <col min="9723" max="9723" width="10.125" style="489" customWidth="1"/>
    <col min="9724" max="9724" width="9.375" style="489" customWidth="1"/>
    <col min="9725" max="9725" width="62.5" style="489" customWidth="1"/>
    <col min="9726" max="9726" width="15.125" style="489" customWidth="1"/>
    <col min="9727" max="9978" width="9" style="489"/>
    <col min="9979" max="9979" width="10.125" style="489" customWidth="1"/>
    <col min="9980" max="9980" width="9.375" style="489" customWidth="1"/>
    <col min="9981" max="9981" width="62.5" style="489" customWidth="1"/>
    <col min="9982" max="9982" width="15.125" style="489" customWidth="1"/>
    <col min="9983" max="10234" width="9" style="489"/>
    <col min="10235" max="10235" width="10.125" style="489" customWidth="1"/>
    <col min="10236" max="10236" width="9.375" style="489" customWidth="1"/>
    <col min="10237" max="10237" width="62.5" style="489" customWidth="1"/>
    <col min="10238" max="10238" width="15.125" style="489" customWidth="1"/>
    <col min="10239" max="10490" width="9" style="489"/>
    <col min="10491" max="10491" width="10.125" style="489" customWidth="1"/>
    <col min="10492" max="10492" width="9.375" style="489" customWidth="1"/>
    <col min="10493" max="10493" width="62.5" style="489" customWidth="1"/>
    <col min="10494" max="10494" width="15.125" style="489" customWidth="1"/>
    <col min="10495" max="10746" width="9" style="489"/>
    <col min="10747" max="10747" width="10.125" style="489" customWidth="1"/>
    <col min="10748" max="10748" width="9.375" style="489" customWidth="1"/>
    <col min="10749" max="10749" width="62.5" style="489" customWidth="1"/>
    <col min="10750" max="10750" width="15.125" style="489" customWidth="1"/>
    <col min="10751" max="11002" width="9" style="489"/>
    <col min="11003" max="11003" width="10.125" style="489" customWidth="1"/>
    <col min="11004" max="11004" width="9.375" style="489" customWidth="1"/>
    <col min="11005" max="11005" width="62.5" style="489" customWidth="1"/>
    <col min="11006" max="11006" width="15.125" style="489" customWidth="1"/>
    <col min="11007" max="11258" width="9" style="489"/>
    <col min="11259" max="11259" width="10.125" style="489" customWidth="1"/>
    <col min="11260" max="11260" width="9.375" style="489" customWidth="1"/>
    <col min="11261" max="11261" width="62.5" style="489" customWidth="1"/>
    <col min="11262" max="11262" width="15.125" style="489" customWidth="1"/>
    <col min="11263" max="11514" width="9" style="489"/>
    <col min="11515" max="11515" width="10.125" style="489" customWidth="1"/>
    <col min="11516" max="11516" width="9.375" style="489" customWidth="1"/>
    <col min="11517" max="11517" width="62.5" style="489" customWidth="1"/>
    <col min="11518" max="11518" width="15.125" style="489" customWidth="1"/>
    <col min="11519" max="11770" width="9" style="489"/>
    <col min="11771" max="11771" width="10.125" style="489" customWidth="1"/>
    <col min="11772" max="11772" width="9.375" style="489" customWidth="1"/>
    <col min="11773" max="11773" width="62.5" style="489" customWidth="1"/>
    <col min="11774" max="11774" width="15.125" style="489" customWidth="1"/>
    <col min="11775" max="12026" width="9" style="489"/>
    <col min="12027" max="12027" width="10.125" style="489" customWidth="1"/>
    <col min="12028" max="12028" width="9.375" style="489" customWidth="1"/>
    <col min="12029" max="12029" width="62.5" style="489" customWidth="1"/>
    <col min="12030" max="12030" width="15.125" style="489" customWidth="1"/>
    <col min="12031" max="12282" width="9" style="489"/>
    <col min="12283" max="12283" width="10.125" style="489" customWidth="1"/>
    <col min="12284" max="12284" width="9.375" style="489" customWidth="1"/>
    <col min="12285" max="12285" width="62.5" style="489" customWidth="1"/>
    <col min="12286" max="12286" width="15.125" style="489" customWidth="1"/>
    <col min="12287" max="12538" width="9" style="489"/>
    <col min="12539" max="12539" width="10.125" style="489" customWidth="1"/>
    <col min="12540" max="12540" width="9.375" style="489" customWidth="1"/>
    <col min="12541" max="12541" width="62.5" style="489" customWidth="1"/>
    <col min="12542" max="12542" width="15.125" style="489" customWidth="1"/>
    <col min="12543" max="12794" width="9" style="489"/>
    <col min="12795" max="12795" width="10.125" style="489" customWidth="1"/>
    <col min="12796" max="12796" width="9.375" style="489" customWidth="1"/>
    <col min="12797" max="12797" width="62.5" style="489" customWidth="1"/>
    <col min="12798" max="12798" width="15.125" style="489" customWidth="1"/>
    <col min="12799" max="13050" width="9" style="489"/>
    <col min="13051" max="13051" width="10.125" style="489" customWidth="1"/>
    <col min="13052" max="13052" width="9.375" style="489" customWidth="1"/>
    <col min="13053" max="13053" width="62.5" style="489" customWidth="1"/>
    <col min="13054" max="13054" width="15.125" style="489" customWidth="1"/>
    <col min="13055" max="13306" width="9" style="489"/>
    <col min="13307" max="13307" width="10.125" style="489" customWidth="1"/>
    <col min="13308" max="13308" width="9.375" style="489" customWidth="1"/>
    <col min="13309" max="13309" width="62.5" style="489" customWidth="1"/>
    <col min="13310" max="13310" width="15.125" style="489" customWidth="1"/>
    <col min="13311" max="13562" width="9" style="489"/>
    <col min="13563" max="13563" width="10.125" style="489" customWidth="1"/>
    <col min="13564" max="13564" width="9.375" style="489" customWidth="1"/>
    <col min="13565" max="13565" width="62.5" style="489" customWidth="1"/>
    <col min="13566" max="13566" width="15.125" style="489" customWidth="1"/>
    <col min="13567" max="13818" width="9" style="489"/>
    <col min="13819" max="13819" width="10.125" style="489" customWidth="1"/>
    <col min="13820" max="13820" width="9.375" style="489" customWidth="1"/>
    <col min="13821" max="13821" width="62.5" style="489" customWidth="1"/>
    <col min="13822" max="13822" width="15.125" style="489" customWidth="1"/>
    <col min="13823" max="14074" width="9" style="489"/>
    <col min="14075" max="14075" width="10.125" style="489" customWidth="1"/>
    <col min="14076" max="14076" width="9.375" style="489" customWidth="1"/>
    <col min="14077" max="14077" width="62.5" style="489" customWidth="1"/>
    <col min="14078" max="14078" width="15.125" style="489" customWidth="1"/>
    <col min="14079" max="14330" width="9" style="489"/>
    <col min="14331" max="14331" width="10.125" style="489" customWidth="1"/>
    <col min="14332" max="14332" width="9.375" style="489" customWidth="1"/>
    <col min="14333" max="14333" width="62.5" style="489" customWidth="1"/>
    <col min="14334" max="14334" width="15.125" style="489" customWidth="1"/>
    <col min="14335" max="14586" width="9" style="489"/>
    <col min="14587" max="14587" width="10.125" style="489" customWidth="1"/>
    <col min="14588" max="14588" width="9.375" style="489" customWidth="1"/>
    <col min="14589" max="14589" width="62.5" style="489" customWidth="1"/>
    <col min="14590" max="14590" width="15.125" style="489" customWidth="1"/>
    <col min="14591" max="14842" width="9" style="489"/>
    <col min="14843" max="14843" width="10.125" style="489" customWidth="1"/>
    <col min="14844" max="14844" width="9.375" style="489" customWidth="1"/>
    <col min="14845" max="14845" width="62.5" style="489" customWidth="1"/>
    <col min="14846" max="14846" width="15.125" style="489" customWidth="1"/>
    <col min="14847" max="15098" width="9" style="489"/>
    <col min="15099" max="15099" width="10.125" style="489" customWidth="1"/>
    <col min="15100" max="15100" width="9.375" style="489" customWidth="1"/>
    <col min="15101" max="15101" width="62.5" style="489" customWidth="1"/>
    <col min="15102" max="15102" width="15.125" style="489" customWidth="1"/>
    <col min="15103" max="15354" width="9" style="489"/>
    <col min="15355" max="15355" width="10.125" style="489" customWidth="1"/>
    <col min="15356" max="15356" width="9.375" style="489" customWidth="1"/>
    <col min="15357" max="15357" width="62.5" style="489" customWidth="1"/>
    <col min="15358" max="15358" width="15.125" style="489" customWidth="1"/>
    <col min="15359" max="15610" width="9" style="489"/>
    <col min="15611" max="15611" width="10.125" style="489" customWidth="1"/>
    <col min="15612" max="15612" width="9.375" style="489" customWidth="1"/>
    <col min="15613" max="15613" width="62.5" style="489" customWidth="1"/>
    <col min="15614" max="15614" width="15.125" style="489" customWidth="1"/>
    <col min="15615" max="15866" width="9" style="489"/>
    <col min="15867" max="15867" width="10.125" style="489" customWidth="1"/>
    <col min="15868" max="15868" width="9.375" style="489" customWidth="1"/>
    <col min="15869" max="15869" width="62.5" style="489" customWidth="1"/>
    <col min="15870" max="15870" width="15.125" style="489" customWidth="1"/>
    <col min="15871" max="16122" width="9" style="489"/>
    <col min="16123" max="16123" width="10.125" style="489" customWidth="1"/>
    <col min="16124" max="16124" width="9.375" style="489" customWidth="1"/>
    <col min="16125" max="16125" width="62.5" style="489" customWidth="1"/>
    <col min="16126" max="16126" width="15.125" style="489" customWidth="1"/>
    <col min="16127" max="16384" width="9" style="489"/>
  </cols>
  <sheetData>
    <row r="1" spans="1:6" s="483" customFormat="1">
      <c r="A1" s="482"/>
      <c r="B1" s="253"/>
      <c r="C1" s="916" t="s">
        <v>633</v>
      </c>
      <c r="D1" s="916"/>
    </row>
    <row r="2" spans="1:6" s="483" customFormat="1">
      <c r="A2" s="482"/>
      <c r="B2" s="253"/>
      <c r="C2" s="916" t="s">
        <v>634</v>
      </c>
      <c r="D2" s="916"/>
    </row>
    <row r="3" spans="1:6" s="483" customFormat="1">
      <c r="A3" s="482"/>
      <c r="B3" s="253"/>
      <c r="C3" s="916" t="s">
        <v>635</v>
      </c>
      <c r="D3" s="916"/>
    </row>
    <row r="4" spans="1:6" s="483" customFormat="1" ht="9" customHeight="1">
      <c r="A4" s="482"/>
      <c r="B4" s="253"/>
      <c r="C4" s="257"/>
      <c r="D4" s="484"/>
    </row>
    <row r="5" spans="1:6" s="485" customFormat="1" ht="18.75">
      <c r="A5" s="917" t="s">
        <v>636</v>
      </c>
      <c r="B5" s="917"/>
      <c r="C5" s="917"/>
      <c r="D5" s="917"/>
    </row>
    <row r="6" spans="1:6" s="485" customFormat="1" ht="18.75">
      <c r="A6" s="917" t="s">
        <v>277</v>
      </c>
      <c r="B6" s="917"/>
      <c r="C6" s="917"/>
      <c r="D6" s="917"/>
    </row>
    <row r="7" spans="1:6" ht="14.25" customHeight="1">
      <c r="A7" s="486"/>
      <c r="B7" s="487"/>
      <c r="C7" s="487"/>
      <c r="D7" s="488" t="s">
        <v>15</v>
      </c>
    </row>
    <row r="8" spans="1:6" s="693" customFormat="1" ht="25.5">
      <c r="A8" s="686" t="s">
        <v>124</v>
      </c>
      <c r="B8" s="686" t="s">
        <v>125</v>
      </c>
      <c r="C8" s="687" t="s">
        <v>16</v>
      </c>
      <c r="D8" s="688" t="s">
        <v>126</v>
      </c>
    </row>
    <row r="9" spans="1:6" s="491" customFormat="1" ht="13.5" customHeight="1">
      <c r="A9" s="490" t="s">
        <v>18</v>
      </c>
      <c r="B9" s="220" t="s">
        <v>19</v>
      </c>
      <c r="C9" s="221">
        <v>3</v>
      </c>
      <c r="D9" s="222">
        <v>4</v>
      </c>
    </row>
    <row r="10" spans="1:6" s="491" customFormat="1" ht="18.75" customHeight="1">
      <c r="A10" s="519"/>
      <c r="B10" s="519"/>
      <c r="C10" s="520" t="s">
        <v>637</v>
      </c>
      <c r="D10" s="521">
        <f>D11+D74+D107+D143+D203+D216+D229+D269+D281+D284+D471+D475+D481+D487+D491+D705+D782+D870+D1030+D1137+D1168+D1244+D1291+D1320</f>
        <v>1832773587</v>
      </c>
    </row>
    <row r="11" spans="1:6" s="527" customFormat="1" ht="18" customHeight="1">
      <c r="A11" s="522" t="s">
        <v>61</v>
      </c>
      <c r="B11" s="523" t="s">
        <v>128</v>
      </c>
      <c r="C11" s="524" t="s">
        <v>62</v>
      </c>
      <c r="D11" s="525">
        <f>D12+D14+D16+D56+D67</f>
        <v>25995000</v>
      </c>
      <c r="E11" s="526" t="s">
        <v>128</v>
      </c>
      <c r="F11" s="526" t="s">
        <v>128</v>
      </c>
    </row>
    <row r="12" spans="1:6" s="527" customFormat="1">
      <c r="A12" s="528" t="s">
        <v>290</v>
      </c>
      <c r="B12" s="529" t="s">
        <v>128</v>
      </c>
      <c r="C12" s="530" t="s">
        <v>291</v>
      </c>
      <c r="D12" s="531">
        <f>D13</f>
        <v>50000</v>
      </c>
      <c r="E12" s="526" t="s">
        <v>128</v>
      </c>
      <c r="F12" s="526" t="s">
        <v>128</v>
      </c>
    </row>
    <row r="13" spans="1:6" s="537" customFormat="1">
      <c r="A13" s="532" t="s">
        <v>128</v>
      </c>
      <c r="B13" s="533">
        <v>4300</v>
      </c>
      <c r="C13" s="534" t="s">
        <v>197</v>
      </c>
      <c r="D13" s="535">
        <v>50000</v>
      </c>
      <c r="E13" s="536" t="s">
        <v>128</v>
      </c>
      <c r="F13" s="536" t="s">
        <v>128</v>
      </c>
    </row>
    <row r="14" spans="1:6" s="527" customFormat="1">
      <c r="A14" s="528" t="s">
        <v>317</v>
      </c>
      <c r="B14" s="529" t="s">
        <v>128</v>
      </c>
      <c r="C14" s="530" t="s">
        <v>318</v>
      </c>
      <c r="D14" s="531">
        <f>D15</f>
        <v>1700000</v>
      </c>
      <c r="E14" s="526" t="s">
        <v>128</v>
      </c>
      <c r="F14" s="526" t="s">
        <v>128</v>
      </c>
    </row>
    <row r="15" spans="1:6" s="507" customFormat="1" ht="29.25" customHeight="1">
      <c r="A15" s="502" t="s">
        <v>128</v>
      </c>
      <c r="B15" s="503">
        <v>2710</v>
      </c>
      <c r="C15" s="504" t="s">
        <v>638</v>
      </c>
      <c r="D15" s="505">
        <v>1700000</v>
      </c>
      <c r="E15" s="506" t="s">
        <v>128</v>
      </c>
      <c r="F15" s="506" t="s">
        <v>128</v>
      </c>
    </row>
    <row r="16" spans="1:6" s="527" customFormat="1">
      <c r="A16" s="528" t="s">
        <v>63</v>
      </c>
      <c r="B16" s="529" t="s">
        <v>128</v>
      </c>
      <c r="C16" s="530" t="s">
        <v>129</v>
      </c>
      <c r="D16" s="531">
        <f>SUM(D17:D55)</f>
        <v>8185000</v>
      </c>
      <c r="E16" s="526" t="s">
        <v>128</v>
      </c>
      <c r="F16" s="526" t="s">
        <v>128</v>
      </c>
    </row>
    <row r="17" spans="1:6" s="507" customFormat="1" ht="40.5" customHeight="1">
      <c r="A17" s="502" t="s">
        <v>128</v>
      </c>
      <c r="B17" s="503">
        <v>2910</v>
      </c>
      <c r="C17" s="504" t="s">
        <v>639</v>
      </c>
      <c r="D17" s="505">
        <v>15000</v>
      </c>
      <c r="E17" s="506" t="s">
        <v>128</v>
      </c>
      <c r="F17" s="506" t="s">
        <v>128</v>
      </c>
    </row>
    <row r="18" spans="1:6" s="537" customFormat="1">
      <c r="A18" s="532" t="s">
        <v>128</v>
      </c>
      <c r="B18" s="533">
        <v>4018</v>
      </c>
      <c r="C18" s="534" t="s">
        <v>188</v>
      </c>
      <c r="D18" s="535">
        <v>3144191</v>
      </c>
      <c r="E18" s="536" t="s">
        <v>128</v>
      </c>
      <c r="F18" s="536" t="s">
        <v>128</v>
      </c>
    </row>
    <row r="19" spans="1:6" s="537" customFormat="1">
      <c r="A19" s="532" t="s">
        <v>128</v>
      </c>
      <c r="B19" s="533">
        <v>4019</v>
      </c>
      <c r="C19" s="534" t="s">
        <v>188</v>
      </c>
      <c r="D19" s="535">
        <v>1797175</v>
      </c>
      <c r="E19" s="536" t="s">
        <v>128</v>
      </c>
      <c r="F19" s="536" t="s">
        <v>128</v>
      </c>
    </row>
    <row r="20" spans="1:6" s="537" customFormat="1">
      <c r="A20" s="532" t="s">
        <v>128</v>
      </c>
      <c r="B20" s="533">
        <v>4048</v>
      </c>
      <c r="C20" s="534" t="s">
        <v>189</v>
      </c>
      <c r="D20" s="535">
        <v>227795</v>
      </c>
      <c r="E20" s="536" t="s">
        <v>128</v>
      </c>
      <c r="F20" s="536" t="s">
        <v>128</v>
      </c>
    </row>
    <row r="21" spans="1:6" s="537" customFormat="1">
      <c r="A21" s="532" t="s">
        <v>128</v>
      </c>
      <c r="B21" s="533">
        <v>4049</v>
      </c>
      <c r="C21" s="534" t="s">
        <v>189</v>
      </c>
      <c r="D21" s="535">
        <v>130205</v>
      </c>
      <c r="E21" s="536" t="s">
        <v>128</v>
      </c>
      <c r="F21" s="536" t="s">
        <v>128</v>
      </c>
    </row>
    <row r="22" spans="1:6" s="537" customFormat="1">
      <c r="A22" s="532" t="s">
        <v>128</v>
      </c>
      <c r="B22" s="533">
        <v>4118</v>
      </c>
      <c r="C22" s="534" t="s">
        <v>190</v>
      </c>
      <c r="D22" s="535">
        <v>582971</v>
      </c>
      <c r="E22" s="536" t="s">
        <v>128</v>
      </c>
      <c r="F22" s="536" t="s">
        <v>128</v>
      </c>
    </row>
    <row r="23" spans="1:6" s="537" customFormat="1">
      <c r="A23" s="532" t="s">
        <v>128</v>
      </c>
      <c r="B23" s="533">
        <v>4119</v>
      </c>
      <c r="C23" s="534" t="s">
        <v>190</v>
      </c>
      <c r="D23" s="535">
        <v>333217</v>
      </c>
      <c r="E23" s="536" t="s">
        <v>128</v>
      </c>
      <c r="F23" s="536" t="s">
        <v>128</v>
      </c>
    </row>
    <row r="24" spans="1:6" s="537" customFormat="1">
      <c r="A24" s="532" t="s">
        <v>128</v>
      </c>
      <c r="B24" s="533">
        <v>4128</v>
      </c>
      <c r="C24" s="534" t="s">
        <v>191</v>
      </c>
      <c r="D24" s="535">
        <v>83152</v>
      </c>
      <c r="E24" s="536" t="s">
        <v>128</v>
      </c>
      <c r="F24" s="536" t="s">
        <v>128</v>
      </c>
    </row>
    <row r="25" spans="1:6" s="537" customFormat="1">
      <c r="A25" s="532" t="s">
        <v>128</v>
      </c>
      <c r="B25" s="533">
        <v>4129</v>
      </c>
      <c r="C25" s="534" t="s">
        <v>191</v>
      </c>
      <c r="D25" s="535">
        <v>47529</v>
      </c>
      <c r="E25" s="536" t="s">
        <v>128</v>
      </c>
      <c r="F25" s="536" t="s">
        <v>128</v>
      </c>
    </row>
    <row r="26" spans="1:6" s="537" customFormat="1">
      <c r="A26" s="532" t="s">
        <v>128</v>
      </c>
      <c r="B26" s="533">
        <v>4178</v>
      </c>
      <c r="C26" s="534" t="s">
        <v>192</v>
      </c>
      <c r="D26" s="535">
        <v>41360</v>
      </c>
      <c r="E26" s="536" t="s">
        <v>128</v>
      </c>
      <c r="F26" s="536" t="s">
        <v>128</v>
      </c>
    </row>
    <row r="27" spans="1:6" s="537" customFormat="1">
      <c r="A27" s="532" t="s">
        <v>128</v>
      </c>
      <c r="B27" s="533">
        <v>4179</v>
      </c>
      <c r="C27" s="534" t="s">
        <v>192</v>
      </c>
      <c r="D27" s="535">
        <v>23640</v>
      </c>
      <c r="E27" s="536" t="s">
        <v>128</v>
      </c>
      <c r="F27" s="536" t="s">
        <v>128</v>
      </c>
    </row>
    <row r="28" spans="1:6" s="537" customFormat="1">
      <c r="A28" s="532" t="s">
        <v>128</v>
      </c>
      <c r="B28" s="533">
        <v>4198</v>
      </c>
      <c r="C28" s="534" t="s">
        <v>193</v>
      </c>
      <c r="D28" s="535">
        <v>12726</v>
      </c>
      <c r="E28" s="536" t="s">
        <v>128</v>
      </c>
      <c r="F28" s="536" t="s">
        <v>128</v>
      </c>
    </row>
    <row r="29" spans="1:6" s="537" customFormat="1">
      <c r="A29" s="532" t="s">
        <v>128</v>
      </c>
      <c r="B29" s="533">
        <v>4199</v>
      </c>
      <c r="C29" s="534" t="s">
        <v>193</v>
      </c>
      <c r="D29" s="535">
        <v>7274</v>
      </c>
      <c r="E29" s="536" t="s">
        <v>128</v>
      </c>
      <c r="F29" s="536" t="s">
        <v>128</v>
      </c>
    </row>
    <row r="30" spans="1:6" s="537" customFormat="1">
      <c r="A30" s="532" t="s">
        <v>128</v>
      </c>
      <c r="B30" s="533">
        <v>4218</v>
      </c>
      <c r="C30" s="534" t="s">
        <v>194</v>
      </c>
      <c r="D30" s="535">
        <v>48358</v>
      </c>
      <c r="E30" s="536" t="s">
        <v>128</v>
      </c>
      <c r="F30" s="536" t="s">
        <v>128</v>
      </c>
    </row>
    <row r="31" spans="1:6" s="537" customFormat="1">
      <c r="A31" s="532" t="s">
        <v>128</v>
      </c>
      <c r="B31" s="533">
        <v>4219</v>
      </c>
      <c r="C31" s="534" t="s">
        <v>194</v>
      </c>
      <c r="D31" s="535">
        <v>27642</v>
      </c>
      <c r="E31" s="536" t="s">
        <v>128</v>
      </c>
      <c r="F31" s="536" t="s">
        <v>128</v>
      </c>
    </row>
    <row r="32" spans="1:6" s="537" customFormat="1">
      <c r="A32" s="532" t="s">
        <v>128</v>
      </c>
      <c r="B32" s="533">
        <v>4228</v>
      </c>
      <c r="C32" s="534" t="s">
        <v>195</v>
      </c>
      <c r="D32" s="535">
        <v>3181</v>
      </c>
      <c r="E32" s="536" t="s">
        <v>128</v>
      </c>
      <c r="F32" s="536" t="s">
        <v>128</v>
      </c>
    </row>
    <row r="33" spans="1:6" s="537" customFormat="1">
      <c r="A33" s="532" t="s">
        <v>128</v>
      </c>
      <c r="B33" s="533">
        <v>4229</v>
      </c>
      <c r="C33" s="534" t="s">
        <v>195</v>
      </c>
      <c r="D33" s="535">
        <v>1819</v>
      </c>
      <c r="E33" s="536" t="s">
        <v>128</v>
      </c>
      <c r="F33" s="536" t="s">
        <v>128</v>
      </c>
    </row>
    <row r="34" spans="1:6" s="537" customFormat="1">
      <c r="A34" s="532" t="s">
        <v>128</v>
      </c>
      <c r="B34" s="533">
        <v>4268</v>
      </c>
      <c r="C34" s="534" t="s">
        <v>640</v>
      </c>
      <c r="D34" s="535">
        <v>100535</v>
      </c>
      <c r="E34" s="536" t="s">
        <v>128</v>
      </c>
      <c r="F34" s="536" t="s">
        <v>128</v>
      </c>
    </row>
    <row r="35" spans="1:6" s="537" customFormat="1">
      <c r="A35" s="532" t="s">
        <v>128</v>
      </c>
      <c r="B35" s="533">
        <v>4269</v>
      </c>
      <c r="C35" s="534" t="s">
        <v>640</v>
      </c>
      <c r="D35" s="535">
        <v>57465</v>
      </c>
      <c r="E35" s="536" t="s">
        <v>128</v>
      </c>
      <c r="F35" s="536" t="s">
        <v>128</v>
      </c>
    </row>
    <row r="36" spans="1:6" s="537" customFormat="1">
      <c r="A36" s="532" t="s">
        <v>128</v>
      </c>
      <c r="B36" s="533">
        <v>4278</v>
      </c>
      <c r="C36" s="534" t="s">
        <v>196</v>
      </c>
      <c r="D36" s="535">
        <v>14635</v>
      </c>
      <c r="E36" s="536" t="s">
        <v>128</v>
      </c>
      <c r="F36" s="536" t="s">
        <v>128</v>
      </c>
    </row>
    <row r="37" spans="1:6" s="537" customFormat="1">
      <c r="A37" s="532" t="s">
        <v>128</v>
      </c>
      <c r="B37" s="533">
        <v>4279</v>
      </c>
      <c r="C37" s="534" t="s">
        <v>196</v>
      </c>
      <c r="D37" s="535">
        <v>8365</v>
      </c>
      <c r="E37" s="536" t="s">
        <v>128</v>
      </c>
      <c r="F37" s="536" t="s">
        <v>128</v>
      </c>
    </row>
    <row r="38" spans="1:6" s="537" customFormat="1">
      <c r="A38" s="532" t="s">
        <v>128</v>
      </c>
      <c r="B38" s="533">
        <v>4308</v>
      </c>
      <c r="C38" s="534" t="s">
        <v>197</v>
      </c>
      <c r="D38" s="535">
        <v>521052</v>
      </c>
      <c r="E38" s="536" t="s">
        <v>128</v>
      </c>
      <c r="F38" s="536" t="s">
        <v>128</v>
      </c>
    </row>
    <row r="39" spans="1:6" s="537" customFormat="1">
      <c r="A39" s="532" t="s">
        <v>128</v>
      </c>
      <c r="B39" s="533">
        <v>4309</v>
      </c>
      <c r="C39" s="534" t="s">
        <v>197</v>
      </c>
      <c r="D39" s="535">
        <v>297148</v>
      </c>
      <c r="E39" s="536" t="s">
        <v>128</v>
      </c>
      <c r="F39" s="536" t="s">
        <v>128</v>
      </c>
    </row>
    <row r="40" spans="1:6" s="537" customFormat="1">
      <c r="A40" s="532" t="s">
        <v>128</v>
      </c>
      <c r="B40" s="533">
        <v>4368</v>
      </c>
      <c r="C40" s="534" t="s">
        <v>641</v>
      </c>
      <c r="D40" s="535">
        <v>17499</v>
      </c>
      <c r="E40" s="536" t="s">
        <v>128</v>
      </c>
      <c r="F40" s="536" t="s">
        <v>128</v>
      </c>
    </row>
    <row r="41" spans="1:6" s="537" customFormat="1">
      <c r="A41" s="532" t="s">
        <v>128</v>
      </c>
      <c r="B41" s="533">
        <v>4369</v>
      </c>
      <c r="C41" s="534" t="s">
        <v>641</v>
      </c>
      <c r="D41" s="535">
        <v>10001</v>
      </c>
      <c r="E41" s="536" t="s">
        <v>128</v>
      </c>
      <c r="F41" s="536" t="s">
        <v>128</v>
      </c>
    </row>
    <row r="42" spans="1:6" s="537" customFormat="1">
      <c r="A42" s="532" t="s">
        <v>128</v>
      </c>
      <c r="B42" s="533">
        <v>4388</v>
      </c>
      <c r="C42" s="534" t="s">
        <v>642</v>
      </c>
      <c r="D42" s="535">
        <v>1909</v>
      </c>
      <c r="E42" s="536" t="s">
        <v>128</v>
      </c>
      <c r="F42" s="536" t="s">
        <v>128</v>
      </c>
    </row>
    <row r="43" spans="1:6" s="537" customFormat="1">
      <c r="A43" s="532" t="s">
        <v>128</v>
      </c>
      <c r="B43" s="533">
        <v>4389</v>
      </c>
      <c r="C43" s="534" t="s">
        <v>642</v>
      </c>
      <c r="D43" s="535">
        <v>1091</v>
      </c>
      <c r="E43" s="536" t="s">
        <v>128</v>
      </c>
      <c r="F43" s="536" t="s">
        <v>128</v>
      </c>
    </row>
    <row r="44" spans="1:6" s="537" customFormat="1">
      <c r="A44" s="532" t="s">
        <v>128</v>
      </c>
      <c r="B44" s="533">
        <v>4408</v>
      </c>
      <c r="C44" s="534" t="s">
        <v>643</v>
      </c>
      <c r="D44" s="535">
        <v>324513</v>
      </c>
      <c r="E44" s="536" t="s">
        <v>128</v>
      </c>
      <c r="F44" s="536" t="s">
        <v>128</v>
      </c>
    </row>
    <row r="45" spans="1:6" s="537" customFormat="1">
      <c r="A45" s="532" t="s">
        <v>128</v>
      </c>
      <c r="B45" s="533">
        <v>4409</v>
      </c>
      <c r="C45" s="534" t="s">
        <v>643</v>
      </c>
      <c r="D45" s="535">
        <v>185487</v>
      </c>
      <c r="E45" s="536" t="s">
        <v>128</v>
      </c>
      <c r="F45" s="536" t="s">
        <v>128</v>
      </c>
    </row>
    <row r="46" spans="1:6" s="537" customFormat="1">
      <c r="A46" s="532" t="s">
        <v>128</v>
      </c>
      <c r="B46" s="533">
        <v>4418</v>
      </c>
      <c r="C46" s="534" t="s">
        <v>198</v>
      </c>
      <c r="D46" s="535">
        <v>8908</v>
      </c>
      <c r="E46" s="536" t="s">
        <v>128</v>
      </c>
      <c r="F46" s="536" t="s">
        <v>128</v>
      </c>
    </row>
    <row r="47" spans="1:6" s="537" customFormat="1">
      <c r="A47" s="532" t="s">
        <v>128</v>
      </c>
      <c r="B47" s="533">
        <v>4419</v>
      </c>
      <c r="C47" s="534" t="s">
        <v>198</v>
      </c>
      <c r="D47" s="535">
        <v>5092</v>
      </c>
      <c r="E47" s="536" t="s">
        <v>128</v>
      </c>
      <c r="F47" s="536" t="s">
        <v>128</v>
      </c>
    </row>
    <row r="48" spans="1:6" s="537" customFormat="1">
      <c r="A48" s="532" t="s">
        <v>128</v>
      </c>
      <c r="B48" s="533">
        <v>4428</v>
      </c>
      <c r="C48" s="534" t="s">
        <v>644</v>
      </c>
      <c r="D48" s="535">
        <v>12089</v>
      </c>
      <c r="E48" s="536" t="s">
        <v>128</v>
      </c>
      <c r="F48" s="536" t="s">
        <v>128</v>
      </c>
    </row>
    <row r="49" spans="1:6" s="537" customFormat="1">
      <c r="A49" s="532" t="s">
        <v>128</v>
      </c>
      <c r="B49" s="533">
        <v>4429</v>
      </c>
      <c r="C49" s="534" t="s">
        <v>644</v>
      </c>
      <c r="D49" s="535">
        <v>6911</v>
      </c>
      <c r="E49" s="536" t="s">
        <v>128</v>
      </c>
      <c r="F49" s="536" t="s">
        <v>128</v>
      </c>
    </row>
    <row r="50" spans="1:6" s="537" customFormat="1">
      <c r="A50" s="532" t="s">
        <v>128</v>
      </c>
      <c r="B50" s="533">
        <v>4438</v>
      </c>
      <c r="C50" s="534" t="s">
        <v>645</v>
      </c>
      <c r="D50" s="535">
        <v>3499</v>
      </c>
      <c r="E50" s="536" t="s">
        <v>128</v>
      </c>
      <c r="F50" s="536" t="s">
        <v>128</v>
      </c>
    </row>
    <row r="51" spans="1:6" s="537" customFormat="1">
      <c r="A51" s="532" t="s">
        <v>128</v>
      </c>
      <c r="B51" s="533">
        <v>4439</v>
      </c>
      <c r="C51" s="534" t="s">
        <v>645</v>
      </c>
      <c r="D51" s="535">
        <v>2001</v>
      </c>
      <c r="E51" s="536" t="s">
        <v>128</v>
      </c>
      <c r="F51" s="536" t="s">
        <v>128</v>
      </c>
    </row>
    <row r="52" spans="1:6" s="537" customFormat="1">
      <c r="A52" s="532" t="s">
        <v>128</v>
      </c>
      <c r="B52" s="533">
        <v>4708</v>
      </c>
      <c r="C52" s="534" t="s">
        <v>646</v>
      </c>
      <c r="D52" s="535">
        <v>15271</v>
      </c>
      <c r="E52" s="536" t="s">
        <v>128</v>
      </c>
      <c r="F52" s="536" t="s">
        <v>128</v>
      </c>
    </row>
    <row r="53" spans="1:6" s="537" customFormat="1">
      <c r="A53" s="532" t="s">
        <v>128</v>
      </c>
      <c r="B53" s="533">
        <v>4709</v>
      </c>
      <c r="C53" s="534" t="s">
        <v>646</v>
      </c>
      <c r="D53" s="535">
        <v>8729</v>
      </c>
      <c r="E53" s="536" t="s">
        <v>128</v>
      </c>
      <c r="F53" s="536" t="s">
        <v>128</v>
      </c>
    </row>
    <row r="54" spans="1:6" s="537" customFormat="1">
      <c r="A54" s="532" t="s">
        <v>128</v>
      </c>
      <c r="B54" s="533">
        <v>4718</v>
      </c>
      <c r="C54" s="534" t="s">
        <v>204</v>
      </c>
      <c r="D54" s="535">
        <v>35356</v>
      </c>
      <c r="E54" s="536" t="s">
        <v>128</v>
      </c>
      <c r="F54" s="536" t="s">
        <v>128</v>
      </c>
    </row>
    <row r="55" spans="1:6" s="537" customFormat="1">
      <c r="A55" s="532" t="s">
        <v>128</v>
      </c>
      <c r="B55" s="533">
        <v>4719</v>
      </c>
      <c r="C55" s="534" t="s">
        <v>204</v>
      </c>
      <c r="D55" s="535">
        <v>20209</v>
      </c>
      <c r="E55" s="536" t="s">
        <v>128</v>
      </c>
      <c r="F55" s="536" t="s">
        <v>128</v>
      </c>
    </row>
    <row r="56" spans="1:6" s="527" customFormat="1">
      <c r="A56" s="528" t="s">
        <v>64</v>
      </c>
      <c r="B56" s="529" t="s">
        <v>128</v>
      </c>
      <c r="C56" s="530" t="s">
        <v>65</v>
      </c>
      <c r="D56" s="531">
        <f>SUM(D57:D66)</f>
        <v>13000000</v>
      </c>
      <c r="E56" s="526" t="s">
        <v>128</v>
      </c>
      <c r="F56" s="526" t="s">
        <v>128</v>
      </c>
    </row>
    <row r="57" spans="1:6" s="537" customFormat="1">
      <c r="A57" s="532" t="s">
        <v>128</v>
      </c>
      <c r="B57" s="533">
        <v>4010</v>
      </c>
      <c r="C57" s="534" t="s">
        <v>188</v>
      </c>
      <c r="D57" s="535">
        <v>290000</v>
      </c>
      <c r="E57" s="536" t="s">
        <v>128</v>
      </c>
      <c r="F57" s="536" t="s">
        <v>128</v>
      </c>
    </row>
    <row r="58" spans="1:6" s="537" customFormat="1">
      <c r="A58" s="532" t="s">
        <v>128</v>
      </c>
      <c r="B58" s="533">
        <v>4040</v>
      </c>
      <c r="C58" s="534" t="s">
        <v>189</v>
      </c>
      <c r="D58" s="535">
        <v>24650</v>
      </c>
      <c r="E58" s="536" t="s">
        <v>128</v>
      </c>
      <c r="F58" s="536" t="s">
        <v>128</v>
      </c>
    </row>
    <row r="59" spans="1:6" s="537" customFormat="1">
      <c r="A59" s="532" t="s">
        <v>128</v>
      </c>
      <c r="B59" s="533">
        <v>4110</v>
      </c>
      <c r="C59" s="534" t="s">
        <v>190</v>
      </c>
      <c r="D59" s="535">
        <v>54088</v>
      </c>
      <c r="E59" s="536" t="s">
        <v>128</v>
      </c>
      <c r="F59" s="536" t="s">
        <v>128</v>
      </c>
    </row>
    <row r="60" spans="1:6" s="537" customFormat="1">
      <c r="A60" s="532" t="s">
        <v>128</v>
      </c>
      <c r="B60" s="533">
        <v>4120</v>
      </c>
      <c r="C60" s="534" t="s">
        <v>191</v>
      </c>
      <c r="D60" s="535">
        <v>7709</v>
      </c>
      <c r="E60" s="536" t="s">
        <v>128</v>
      </c>
      <c r="F60" s="536" t="s">
        <v>128</v>
      </c>
    </row>
    <row r="61" spans="1:6" s="537" customFormat="1">
      <c r="A61" s="532" t="s">
        <v>128</v>
      </c>
      <c r="B61" s="533">
        <v>4210</v>
      </c>
      <c r="C61" s="534" t="s">
        <v>194</v>
      </c>
      <c r="D61" s="535">
        <v>15000</v>
      </c>
      <c r="E61" s="536" t="s">
        <v>128</v>
      </c>
      <c r="F61" s="536" t="s">
        <v>128</v>
      </c>
    </row>
    <row r="62" spans="1:6" s="537" customFormat="1">
      <c r="A62" s="532" t="s">
        <v>128</v>
      </c>
      <c r="B62" s="533">
        <v>4300</v>
      </c>
      <c r="C62" s="534" t="s">
        <v>197</v>
      </c>
      <c r="D62" s="535">
        <v>3000</v>
      </c>
      <c r="E62" s="536" t="s">
        <v>128</v>
      </c>
      <c r="F62" s="536" t="s">
        <v>128</v>
      </c>
    </row>
    <row r="63" spans="1:6" s="537" customFormat="1">
      <c r="A63" s="532" t="s">
        <v>128</v>
      </c>
      <c r="B63" s="533">
        <v>4610</v>
      </c>
      <c r="C63" s="534" t="s">
        <v>199</v>
      </c>
      <c r="D63" s="535">
        <v>1000</v>
      </c>
      <c r="E63" s="536" t="s">
        <v>128</v>
      </c>
      <c r="F63" s="536" t="s">
        <v>128</v>
      </c>
    </row>
    <row r="64" spans="1:6" s="537" customFormat="1">
      <c r="A64" s="532" t="s">
        <v>128</v>
      </c>
      <c r="B64" s="533">
        <v>4700</v>
      </c>
      <c r="C64" s="534" t="s">
        <v>646</v>
      </c>
      <c r="D64" s="535">
        <v>3000</v>
      </c>
      <c r="E64" s="536" t="s">
        <v>128</v>
      </c>
      <c r="F64" s="536" t="s">
        <v>128</v>
      </c>
    </row>
    <row r="65" spans="1:6" s="507" customFormat="1" ht="28.5" customHeight="1">
      <c r="A65" s="502" t="s">
        <v>128</v>
      </c>
      <c r="B65" s="503">
        <v>6230</v>
      </c>
      <c r="C65" s="504" t="s">
        <v>200</v>
      </c>
      <c r="D65" s="505">
        <v>300000</v>
      </c>
      <c r="E65" s="506" t="s">
        <v>128</v>
      </c>
      <c r="F65" s="506" t="s">
        <v>128</v>
      </c>
    </row>
    <row r="66" spans="1:6" s="507" customFormat="1" ht="28.5" customHeight="1">
      <c r="A66" s="502" t="s">
        <v>128</v>
      </c>
      <c r="B66" s="503">
        <v>6610</v>
      </c>
      <c r="C66" s="504" t="s">
        <v>201</v>
      </c>
      <c r="D66" s="505">
        <v>12301553</v>
      </c>
      <c r="E66" s="506" t="s">
        <v>128</v>
      </c>
      <c r="F66" s="506" t="s">
        <v>128</v>
      </c>
    </row>
    <row r="67" spans="1:6" s="527" customFormat="1" ht="17.25" customHeight="1">
      <c r="A67" s="538" t="s">
        <v>320</v>
      </c>
      <c r="B67" s="539" t="s">
        <v>128</v>
      </c>
      <c r="C67" s="540" t="s">
        <v>46</v>
      </c>
      <c r="D67" s="541">
        <f>SUM(D68:D73)</f>
        <v>3060000</v>
      </c>
      <c r="E67" s="526" t="s">
        <v>128</v>
      </c>
      <c r="F67" s="526" t="s">
        <v>128</v>
      </c>
    </row>
    <row r="68" spans="1:6" s="507" customFormat="1" ht="27.75" customHeight="1">
      <c r="A68" s="508" t="s">
        <v>128</v>
      </c>
      <c r="B68" s="509">
        <v>2310</v>
      </c>
      <c r="C68" s="510" t="s">
        <v>647</v>
      </c>
      <c r="D68" s="511">
        <v>80000</v>
      </c>
      <c r="E68" s="506" t="s">
        <v>128</v>
      </c>
      <c r="F68" s="506" t="s">
        <v>128</v>
      </c>
    </row>
    <row r="69" spans="1:6" s="507" customFormat="1" ht="42" customHeight="1">
      <c r="A69" s="502" t="s">
        <v>128</v>
      </c>
      <c r="B69" s="503">
        <v>2360</v>
      </c>
      <c r="C69" s="504" t="s">
        <v>648</v>
      </c>
      <c r="D69" s="505">
        <v>500000</v>
      </c>
      <c r="E69" s="506" t="s">
        <v>128</v>
      </c>
      <c r="F69" s="506" t="s">
        <v>128</v>
      </c>
    </row>
    <row r="70" spans="1:6" s="537" customFormat="1">
      <c r="A70" s="532" t="s">
        <v>128</v>
      </c>
      <c r="B70" s="533">
        <v>4190</v>
      </c>
      <c r="C70" s="534" t="s">
        <v>193</v>
      </c>
      <c r="D70" s="535">
        <v>184000</v>
      </c>
      <c r="E70" s="536" t="s">
        <v>128</v>
      </c>
      <c r="F70" s="536" t="s">
        <v>128</v>
      </c>
    </row>
    <row r="71" spans="1:6" s="537" customFormat="1">
      <c r="A71" s="532" t="s">
        <v>128</v>
      </c>
      <c r="B71" s="533">
        <v>4210</v>
      </c>
      <c r="C71" s="534" t="s">
        <v>194</v>
      </c>
      <c r="D71" s="535">
        <v>260000</v>
      </c>
      <c r="E71" s="536" t="s">
        <v>128</v>
      </c>
      <c r="F71" s="536" t="s">
        <v>128</v>
      </c>
    </row>
    <row r="72" spans="1:6" s="537" customFormat="1">
      <c r="A72" s="532" t="s">
        <v>128</v>
      </c>
      <c r="B72" s="533">
        <v>4220</v>
      </c>
      <c r="C72" s="534" t="s">
        <v>195</v>
      </c>
      <c r="D72" s="535">
        <v>5000</v>
      </c>
      <c r="E72" s="536" t="s">
        <v>128</v>
      </c>
      <c r="F72" s="536" t="s">
        <v>128</v>
      </c>
    </row>
    <row r="73" spans="1:6" s="537" customFormat="1" ht="15.75" customHeight="1">
      <c r="A73" s="532" t="s">
        <v>128</v>
      </c>
      <c r="B73" s="533">
        <v>4300</v>
      </c>
      <c r="C73" s="534" t="s">
        <v>197</v>
      </c>
      <c r="D73" s="535">
        <v>2031000</v>
      </c>
      <c r="E73" s="536" t="s">
        <v>128</v>
      </c>
      <c r="F73" s="536" t="s">
        <v>128</v>
      </c>
    </row>
    <row r="74" spans="1:6" s="527" customFormat="1">
      <c r="A74" s="522" t="s">
        <v>21</v>
      </c>
      <c r="B74" s="523" t="s">
        <v>128</v>
      </c>
      <c r="C74" s="524" t="s">
        <v>22</v>
      </c>
      <c r="D74" s="525">
        <f>D75+D102</f>
        <v>149000</v>
      </c>
      <c r="E74" s="526" t="s">
        <v>128</v>
      </c>
      <c r="F74" s="526" t="s">
        <v>128</v>
      </c>
    </row>
    <row r="75" spans="1:6" s="497" customFormat="1" ht="42" customHeight="1">
      <c r="A75" s="498" t="s">
        <v>66</v>
      </c>
      <c r="B75" s="499" t="s">
        <v>128</v>
      </c>
      <c r="C75" s="500" t="s">
        <v>292</v>
      </c>
      <c r="D75" s="501">
        <f>SUM(D76:D101)</f>
        <v>60000</v>
      </c>
      <c r="E75" s="496" t="s">
        <v>128</v>
      </c>
      <c r="F75" s="496" t="s">
        <v>128</v>
      </c>
    </row>
    <row r="76" spans="1:6" s="537" customFormat="1">
      <c r="A76" s="532" t="s">
        <v>128</v>
      </c>
      <c r="B76" s="533">
        <v>4018</v>
      </c>
      <c r="C76" s="534" t="s">
        <v>188</v>
      </c>
      <c r="D76" s="535">
        <v>24294</v>
      </c>
      <c r="E76" s="536" t="s">
        <v>128</v>
      </c>
      <c r="F76" s="536" t="s">
        <v>128</v>
      </c>
    </row>
    <row r="77" spans="1:6" s="537" customFormat="1">
      <c r="A77" s="532" t="s">
        <v>128</v>
      </c>
      <c r="B77" s="533">
        <v>4019</v>
      </c>
      <c r="C77" s="534" t="s">
        <v>188</v>
      </c>
      <c r="D77" s="535">
        <v>10412</v>
      </c>
      <c r="E77" s="536" t="s">
        <v>128</v>
      </c>
      <c r="F77" s="536" t="s">
        <v>128</v>
      </c>
    </row>
    <row r="78" spans="1:6" s="537" customFormat="1">
      <c r="A78" s="532" t="s">
        <v>128</v>
      </c>
      <c r="B78" s="533">
        <v>4048</v>
      </c>
      <c r="C78" s="534" t="s">
        <v>189</v>
      </c>
      <c r="D78" s="535">
        <v>6650</v>
      </c>
      <c r="E78" s="536" t="s">
        <v>128</v>
      </c>
      <c r="F78" s="536" t="s">
        <v>128</v>
      </c>
    </row>
    <row r="79" spans="1:6" s="537" customFormat="1">
      <c r="A79" s="532" t="s">
        <v>128</v>
      </c>
      <c r="B79" s="533">
        <v>4049</v>
      </c>
      <c r="C79" s="534" t="s">
        <v>189</v>
      </c>
      <c r="D79" s="535">
        <v>2850</v>
      </c>
      <c r="E79" s="536" t="s">
        <v>128</v>
      </c>
      <c r="F79" s="536" t="s">
        <v>128</v>
      </c>
    </row>
    <row r="80" spans="1:6" s="537" customFormat="1">
      <c r="A80" s="532" t="s">
        <v>128</v>
      </c>
      <c r="B80" s="533">
        <v>4118</v>
      </c>
      <c r="C80" s="534" t="s">
        <v>190</v>
      </c>
      <c r="D80" s="535">
        <v>5380</v>
      </c>
      <c r="E80" s="536" t="s">
        <v>128</v>
      </c>
      <c r="F80" s="536" t="s">
        <v>128</v>
      </c>
    </row>
    <row r="81" spans="1:6" s="537" customFormat="1">
      <c r="A81" s="532" t="s">
        <v>128</v>
      </c>
      <c r="B81" s="533">
        <v>4119</v>
      </c>
      <c r="C81" s="534" t="s">
        <v>190</v>
      </c>
      <c r="D81" s="535">
        <v>2305</v>
      </c>
      <c r="E81" s="536" t="s">
        <v>128</v>
      </c>
      <c r="F81" s="536" t="s">
        <v>128</v>
      </c>
    </row>
    <row r="82" spans="1:6" s="537" customFormat="1">
      <c r="A82" s="532" t="s">
        <v>128</v>
      </c>
      <c r="B82" s="533">
        <v>4128</v>
      </c>
      <c r="C82" s="534" t="s">
        <v>191</v>
      </c>
      <c r="D82" s="535">
        <v>766</v>
      </c>
      <c r="E82" s="536" t="s">
        <v>128</v>
      </c>
      <c r="F82" s="536" t="s">
        <v>128</v>
      </c>
    </row>
    <row r="83" spans="1:6" s="537" customFormat="1">
      <c r="A83" s="532" t="s">
        <v>128</v>
      </c>
      <c r="B83" s="533">
        <v>4129</v>
      </c>
      <c r="C83" s="534" t="s">
        <v>191</v>
      </c>
      <c r="D83" s="535">
        <v>329</v>
      </c>
      <c r="E83" s="536" t="s">
        <v>128</v>
      </c>
      <c r="F83" s="536" t="s">
        <v>128</v>
      </c>
    </row>
    <row r="84" spans="1:6" s="537" customFormat="1">
      <c r="A84" s="532" t="s">
        <v>128</v>
      </c>
      <c r="B84" s="533">
        <v>4178</v>
      </c>
      <c r="C84" s="534" t="s">
        <v>192</v>
      </c>
      <c r="D84" s="535">
        <v>350</v>
      </c>
      <c r="E84" s="536" t="s">
        <v>128</v>
      </c>
      <c r="F84" s="536" t="s">
        <v>128</v>
      </c>
    </row>
    <row r="85" spans="1:6" s="537" customFormat="1">
      <c r="A85" s="532" t="s">
        <v>128</v>
      </c>
      <c r="B85" s="533">
        <v>4179</v>
      </c>
      <c r="C85" s="534" t="s">
        <v>192</v>
      </c>
      <c r="D85" s="535">
        <v>150</v>
      </c>
      <c r="E85" s="536" t="s">
        <v>128</v>
      </c>
      <c r="F85" s="536" t="s">
        <v>128</v>
      </c>
    </row>
    <row r="86" spans="1:6" s="537" customFormat="1">
      <c r="A86" s="532" t="s">
        <v>128</v>
      </c>
      <c r="B86" s="533">
        <v>4218</v>
      </c>
      <c r="C86" s="534" t="s">
        <v>194</v>
      </c>
      <c r="D86" s="535">
        <v>700</v>
      </c>
      <c r="E86" s="536" t="s">
        <v>128</v>
      </c>
      <c r="F86" s="536" t="s">
        <v>128</v>
      </c>
    </row>
    <row r="87" spans="1:6" s="537" customFormat="1">
      <c r="A87" s="532" t="s">
        <v>128</v>
      </c>
      <c r="B87" s="533">
        <v>4219</v>
      </c>
      <c r="C87" s="534" t="s">
        <v>194</v>
      </c>
      <c r="D87" s="535">
        <v>300</v>
      </c>
      <c r="E87" s="536" t="s">
        <v>128</v>
      </c>
      <c r="F87" s="536" t="s">
        <v>128</v>
      </c>
    </row>
    <row r="88" spans="1:6" s="537" customFormat="1">
      <c r="A88" s="532" t="s">
        <v>128</v>
      </c>
      <c r="B88" s="533">
        <v>4268</v>
      </c>
      <c r="C88" s="534" t="s">
        <v>640</v>
      </c>
      <c r="D88" s="535">
        <v>700</v>
      </c>
      <c r="E88" s="536" t="s">
        <v>128</v>
      </c>
      <c r="F88" s="536" t="s">
        <v>128</v>
      </c>
    </row>
    <row r="89" spans="1:6" s="537" customFormat="1">
      <c r="A89" s="532" t="s">
        <v>128</v>
      </c>
      <c r="B89" s="533">
        <v>4269</v>
      </c>
      <c r="C89" s="534" t="s">
        <v>640</v>
      </c>
      <c r="D89" s="535">
        <v>300</v>
      </c>
      <c r="E89" s="536" t="s">
        <v>128</v>
      </c>
      <c r="F89" s="536" t="s">
        <v>128</v>
      </c>
    </row>
    <row r="90" spans="1:6" s="537" customFormat="1">
      <c r="A90" s="532" t="s">
        <v>128</v>
      </c>
      <c r="B90" s="533">
        <v>4278</v>
      </c>
      <c r="C90" s="534" t="s">
        <v>196</v>
      </c>
      <c r="D90" s="535">
        <v>140</v>
      </c>
      <c r="E90" s="536" t="s">
        <v>128</v>
      </c>
      <c r="F90" s="536" t="s">
        <v>128</v>
      </c>
    </row>
    <row r="91" spans="1:6" s="537" customFormat="1">
      <c r="A91" s="532" t="s">
        <v>128</v>
      </c>
      <c r="B91" s="533">
        <v>4279</v>
      </c>
      <c r="C91" s="534" t="s">
        <v>196</v>
      </c>
      <c r="D91" s="535">
        <v>60</v>
      </c>
      <c r="E91" s="536" t="s">
        <v>128</v>
      </c>
      <c r="F91" s="536" t="s">
        <v>128</v>
      </c>
    </row>
    <row r="92" spans="1:6" s="537" customFormat="1">
      <c r="A92" s="532" t="s">
        <v>128</v>
      </c>
      <c r="B92" s="533">
        <v>4308</v>
      </c>
      <c r="C92" s="534" t="s">
        <v>197</v>
      </c>
      <c r="D92" s="535">
        <v>350</v>
      </c>
      <c r="E92" s="536" t="s">
        <v>128</v>
      </c>
      <c r="F92" s="536" t="s">
        <v>128</v>
      </c>
    </row>
    <row r="93" spans="1:6" s="537" customFormat="1">
      <c r="A93" s="532" t="s">
        <v>128</v>
      </c>
      <c r="B93" s="533">
        <v>4309</v>
      </c>
      <c r="C93" s="534" t="s">
        <v>197</v>
      </c>
      <c r="D93" s="535">
        <v>150</v>
      </c>
      <c r="E93" s="536" t="s">
        <v>128</v>
      </c>
      <c r="F93" s="536" t="s">
        <v>128</v>
      </c>
    </row>
    <row r="94" spans="1:6" s="537" customFormat="1">
      <c r="A94" s="532" t="s">
        <v>128</v>
      </c>
      <c r="B94" s="533">
        <v>4368</v>
      </c>
      <c r="C94" s="534" t="s">
        <v>641</v>
      </c>
      <c r="D94" s="535">
        <v>105</v>
      </c>
      <c r="E94" s="536" t="s">
        <v>128</v>
      </c>
      <c r="F94" s="536" t="s">
        <v>128</v>
      </c>
    </row>
    <row r="95" spans="1:6" s="537" customFormat="1">
      <c r="A95" s="532" t="s">
        <v>128</v>
      </c>
      <c r="B95" s="533">
        <v>4369</v>
      </c>
      <c r="C95" s="534" t="s">
        <v>641</v>
      </c>
      <c r="D95" s="535">
        <v>45</v>
      </c>
      <c r="E95" s="536" t="s">
        <v>128</v>
      </c>
      <c r="F95" s="536" t="s">
        <v>128</v>
      </c>
    </row>
    <row r="96" spans="1:6" s="537" customFormat="1">
      <c r="A96" s="532" t="s">
        <v>128</v>
      </c>
      <c r="B96" s="533">
        <v>4408</v>
      </c>
      <c r="C96" s="534" t="s">
        <v>643</v>
      </c>
      <c r="D96" s="535">
        <v>2100</v>
      </c>
      <c r="E96" s="536" t="s">
        <v>128</v>
      </c>
      <c r="F96" s="536" t="s">
        <v>128</v>
      </c>
    </row>
    <row r="97" spans="1:6" s="537" customFormat="1">
      <c r="A97" s="532" t="s">
        <v>128</v>
      </c>
      <c r="B97" s="533">
        <v>4409</v>
      </c>
      <c r="C97" s="534" t="s">
        <v>643</v>
      </c>
      <c r="D97" s="535">
        <v>900</v>
      </c>
      <c r="E97" s="536" t="s">
        <v>128</v>
      </c>
      <c r="F97" s="536" t="s">
        <v>128</v>
      </c>
    </row>
    <row r="98" spans="1:6" s="537" customFormat="1">
      <c r="A98" s="532" t="s">
        <v>128</v>
      </c>
      <c r="B98" s="533">
        <v>4418</v>
      </c>
      <c r="C98" s="534" t="s">
        <v>198</v>
      </c>
      <c r="D98" s="535">
        <v>105</v>
      </c>
      <c r="E98" s="536" t="s">
        <v>128</v>
      </c>
      <c r="F98" s="536" t="s">
        <v>128</v>
      </c>
    </row>
    <row r="99" spans="1:6" s="537" customFormat="1">
      <c r="A99" s="532" t="s">
        <v>128</v>
      </c>
      <c r="B99" s="533">
        <v>4419</v>
      </c>
      <c r="C99" s="534" t="s">
        <v>198</v>
      </c>
      <c r="D99" s="535">
        <v>45</v>
      </c>
      <c r="E99" s="536" t="s">
        <v>128</v>
      </c>
      <c r="F99" s="536" t="s">
        <v>128</v>
      </c>
    </row>
    <row r="100" spans="1:6" s="537" customFormat="1">
      <c r="A100" s="532" t="s">
        <v>128</v>
      </c>
      <c r="B100" s="533">
        <v>4718</v>
      </c>
      <c r="C100" s="534" t="s">
        <v>204</v>
      </c>
      <c r="D100" s="535">
        <v>360</v>
      </c>
      <c r="E100" s="536" t="s">
        <v>128</v>
      </c>
      <c r="F100" s="536" t="s">
        <v>128</v>
      </c>
    </row>
    <row r="101" spans="1:6" s="537" customFormat="1">
      <c r="A101" s="532" t="s">
        <v>128</v>
      </c>
      <c r="B101" s="533">
        <v>4719</v>
      </c>
      <c r="C101" s="534" t="s">
        <v>204</v>
      </c>
      <c r="D101" s="535">
        <v>154</v>
      </c>
      <c r="E101" s="536" t="s">
        <v>128</v>
      </c>
      <c r="F101" s="536" t="s">
        <v>128</v>
      </c>
    </row>
    <row r="102" spans="1:6" s="527" customFormat="1">
      <c r="A102" s="528" t="s">
        <v>60</v>
      </c>
      <c r="B102" s="529" t="s">
        <v>128</v>
      </c>
      <c r="C102" s="530" t="s">
        <v>46</v>
      </c>
      <c r="D102" s="531">
        <f>SUM(D103:D106)</f>
        <v>89000</v>
      </c>
      <c r="E102" s="526" t="s">
        <v>128</v>
      </c>
      <c r="F102" s="526" t="s">
        <v>128</v>
      </c>
    </row>
    <row r="103" spans="1:6" s="537" customFormat="1">
      <c r="A103" s="532" t="s">
        <v>128</v>
      </c>
      <c r="B103" s="533">
        <v>4010</v>
      </c>
      <c r="C103" s="534" t="s">
        <v>188</v>
      </c>
      <c r="D103" s="535">
        <v>68237</v>
      </c>
      <c r="E103" s="536" t="s">
        <v>128</v>
      </c>
      <c r="F103" s="536" t="s">
        <v>128</v>
      </c>
    </row>
    <row r="104" spans="1:6" s="537" customFormat="1">
      <c r="A104" s="532" t="s">
        <v>128</v>
      </c>
      <c r="B104" s="533">
        <v>4040</v>
      </c>
      <c r="C104" s="534" t="s">
        <v>189</v>
      </c>
      <c r="D104" s="535">
        <v>6153</v>
      </c>
      <c r="E104" s="536" t="s">
        <v>128</v>
      </c>
      <c r="F104" s="536" t="s">
        <v>128</v>
      </c>
    </row>
    <row r="105" spans="1:6" s="537" customFormat="1">
      <c r="A105" s="532" t="s">
        <v>128</v>
      </c>
      <c r="B105" s="533">
        <v>4110</v>
      </c>
      <c r="C105" s="534" t="s">
        <v>190</v>
      </c>
      <c r="D105" s="535">
        <v>12788</v>
      </c>
      <c r="E105" s="536" t="s">
        <v>128</v>
      </c>
      <c r="F105" s="536" t="s">
        <v>128</v>
      </c>
    </row>
    <row r="106" spans="1:6" s="537" customFormat="1" ht="16.5" customHeight="1">
      <c r="A106" s="532" t="s">
        <v>128</v>
      </c>
      <c r="B106" s="533">
        <v>4120</v>
      </c>
      <c r="C106" s="534" t="s">
        <v>191</v>
      </c>
      <c r="D106" s="535">
        <v>1822</v>
      </c>
      <c r="E106" s="536" t="s">
        <v>128</v>
      </c>
      <c r="F106" s="536" t="s">
        <v>128</v>
      </c>
    </row>
    <row r="107" spans="1:6" s="527" customFormat="1">
      <c r="A107" s="522">
        <v>150</v>
      </c>
      <c r="B107" s="523" t="s">
        <v>128</v>
      </c>
      <c r="C107" s="524" t="s">
        <v>322</v>
      </c>
      <c r="D107" s="525">
        <f>D108</f>
        <v>17644211</v>
      </c>
      <c r="E107" s="526" t="s">
        <v>128</v>
      </c>
      <c r="F107" s="526" t="s">
        <v>128</v>
      </c>
    </row>
    <row r="108" spans="1:6" s="527" customFormat="1" ht="15.75" customHeight="1">
      <c r="A108" s="528">
        <v>15013</v>
      </c>
      <c r="B108" s="529" t="s">
        <v>128</v>
      </c>
      <c r="C108" s="530" t="s">
        <v>324</v>
      </c>
      <c r="D108" s="531">
        <f>SUM(D109:D142)</f>
        <v>17644211</v>
      </c>
      <c r="E108" s="526" t="s">
        <v>128</v>
      </c>
      <c r="F108" s="526" t="s">
        <v>128</v>
      </c>
    </row>
    <row r="109" spans="1:6" s="537" customFormat="1">
      <c r="A109" s="532" t="s">
        <v>128</v>
      </c>
      <c r="B109" s="533">
        <v>4017</v>
      </c>
      <c r="C109" s="534" t="s">
        <v>188</v>
      </c>
      <c r="D109" s="535">
        <v>3066246</v>
      </c>
      <c r="E109" s="536" t="s">
        <v>128</v>
      </c>
      <c r="F109" s="536" t="s">
        <v>128</v>
      </c>
    </row>
    <row r="110" spans="1:6" s="537" customFormat="1">
      <c r="A110" s="532" t="s">
        <v>128</v>
      </c>
      <c r="B110" s="533">
        <v>4019</v>
      </c>
      <c r="C110" s="534" t="s">
        <v>188</v>
      </c>
      <c r="D110" s="535">
        <v>360876</v>
      </c>
      <c r="E110" s="536" t="s">
        <v>128</v>
      </c>
      <c r="F110" s="536" t="s">
        <v>128</v>
      </c>
    </row>
    <row r="111" spans="1:6" s="537" customFormat="1">
      <c r="A111" s="532" t="s">
        <v>128</v>
      </c>
      <c r="B111" s="533">
        <v>4047</v>
      </c>
      <c r="C111" s="534" t="s">
        <v>189</v>
      </c>
      <c r="D111" s="535">
        <v>3645</v>
      </c>
      <c r="E111" s="536" t="s">
        <v>128</v>
      </c>
      <c r="F111" s="536" t="s">
        <v>128</v>
      </c>
    </row>
    <row r="112" spans="1:6" s="537" customFormat="1">
      <c r="A112" s="532" t="s">
        <v>128</v>
      </c>
      <c r="B112" s="533">
        <v>4049</v>
      </c>
      <c r="C112" s="534" t="s">
        <v>189</v>
      </c>
      <c r="D112" s="535">
        <v>429</v>
      </c>
      <c r="E112" s="536" t="s">
        <v>128</v>
      </c>
      <c r="F112" s="536" t="s">
        <v>128</v>
      </c>
    </row>
    <row r="113" spans="1:6" s="537" customFormat="1">
      <c r="A113" s="532" t="s">
        <v>128</v>
      </c>
      <c r="B113" s="533">
        <v>4117</v>
      </c>
      <c r="C113" s="534" t="s">
        <v>190</v>
      </c>
      <c r="D113" s="535">
        <v>575181</v>
      </c>
      <c r="E113" s="536" t="s">
        <v>128</v>
      </c>
      <c r="F113" s="536" t="s">
        <v>128</v>
      </c>
    </row>
    <row r="114" spans="1:6" s="537" customFormat="1">
      <c r="A114" s="532" t="s">
        <v>128</v>
      </c>
      <c r="B114" s="533">
        <v>4119</v>
      </c>
      <c r="C114" s="534" t="s">
        <v>190</v>
      </c>
      <c r="D114" s="535">
        <v>67695</v>
      </c>
      <c r="E114" s="536" t="s">
        <v>128</v>
      </c>
      <c r="F114" s="536" t="s">
        <v>128</v>
      </c>
    </row>
    <row r="115" spans="1:6" s="537" customFormat="1">
      <c r="A115" s="532" t="s">
        <v>128</v>
      </c>
      <c r="B115" s="533">
        <v>4127</v>
      </c>
      <c r="C115" s="534" t="s">
        <v>191</v>
      </c>
      <c r="D115" s="535">
        <v>81977</v>
      </c>
      <c r="E115" s="536" t="s">
        <v>128</v>
      </c>
      <c r="F115" s="536" t="s">
        <v>128</v>
      </c>
    </row>
    <row r="116" spans="1:6" s="537" customFormat="1">
      <c r="A116" s="532" t="s">
        <v>128</v>
      </c>
      <c r="B116" s="533">
        <v>4129</v>
      </c>
      <c r="C116" s="534" t="s">
        <v>191</v>
      </c>
      <c r="D116" s="535">
        <v>9648</v>
      </c>
      <c r="E116" s="536" t="s">
        <v>128</v>
      </c>
      <c r="F116" s="536" t="s">
        <v>128</v>
      </c>
    </row>
    <row r="117" spans="1:6" s="537" customFormat="1">
      <c r="A117" s="532" t="s">
        <v>128</v>
      </c>
      <c r="B117" s="533">
        <v>4170</v>
      </c>
      <c r="C117" s="534" t="s">
        <v>192</v>
      </c>
      <c r="D117" s="535">
        <v>5000</v>
      </c>
      <c r="E117" s="536" t="s">
        <v>128</v>
      </c>
      <c r="F117" s="536" t="s">
        <v>128</v>
      </c>
    </row>
    <row r="118" spans="1:6" s="537" customFormat="1">
      <c r="A118" s="532" t="s">
        <v>128</v>
      </c>
      <c r="B118" s="533">
        <v>4177</v>
      </c>
      <c r="C118" s="534" t="s">
        <v>192</v>
      </c>
      <c r="D118" s="535">
        <v>276127</v>
      </c>
      <c r="E118" s="536" t="s">
        <v>128</v>
      </c>
      <c r="F118" s="536" t="s">
        <v>128</v>
      </c>
    </row>
    <row r="119" spans="1:6" s="537" customFormat="1">
      <c r="A119" s="532" t="s">
        <v>128</v>
      </c>
      <c r="B119" s="533">
        <v>4179</v>
      </c>
      <c r="C119" s="534" t="s">
        <v>192</v>
      </c>
      <c r="D119" s="535">
        <v>32499</v>
      </c>
      <c r="E119" s="536" t="s">
        <v>128</v>
      </c>
      <c r="F119" s="536" t="s">
        <v>128</v>
      </c>
    </row>
    <row r="120" spans="1:6" s="537" customFormat="1">
      <c r="A120" s="532" t="s">
        <v>128</v>
      </c>
      <c r="B120" s="533">
        <v>4217</v>
      </c>
      <c r="C120" s="534" t="s">
        <v>194</v>
      </c>
      <c r="D120" s="535">
        <v>211298</v>
      </c>
      <c r="E120" s="536" t="s">
        <v>128</v>
      </c>
      <c r="F120" s="536" t="s">
        <v>128</v>
      </c>
    </row>
    <row r="121" spans="1:6" s="537" customFormat="1">
      <c r="A121" s="532" t="s">
        <v>128</v>
      </c>
      <c r="B121" s="533">
        <v>4219</v>
      </c>
      <c r="C121" s="534" t="s">
        <v>194</v>
      </c>
      <c r="D121" s="535">
        <v>24869</v>
      </c>
      <c r="E121" s="536" t="s">
        <v>128</v>
      </c>
      <c r="F121" s="536" t="s">
        <v>128</v>
      </c>
    </row>
    <row r="122" spans="1:6" s="537" customFormat="1">
      <c r="A122" s="532" t="s">
        <v>128</v>
      </c>
      <c r="B122" s="533">
        <v>4267</v>
      </c>
      <c r="C122" s="534" t="s">
        <v>640</v>
      </c>
      <c r="D122" s="535">
        <v>47370</v>
      </c>
      <c r="E122" s="536" t="s">
        <v>128</v>
      </c>
      <c r="F122" s="536" t="s">
        <v>128</v>
      </c>
    </row>
    <row r="123" spans="1:6" s="537" customFormat="1">
      <c r="A123" s="532" t="s">
        <v>128</v>
      </c>
      <c r="B123" s="533">
        <v>4269</v>
      </c>
      <c r="C123" s="534" t="s">
        <v>640</v>
      </c>
      <c r="D123" s="535">
        <v>5575</v>
      </c>
      <c r="E123" s="536" t="s">
        <v>128</v>
      </c>
      <c r="F123" s="536" t="s">
        <v>128</v>
      </c>
    </row>
    <row r="124" spans="1:6" s="537" customFormat="1">
      <c r="A124" s="532" t="s">
        <v>128</v>
      </c>
      <c r="B124" s="533">
        <v>4277</v>
      </c>
      <c r="C124" s="534" t="s">
        <v>196</v>
      </c>
      <c r="D124" s="535">
        <v>48681</v>
      </c>
      <c r="E124" s="536" t="s">
        <v>128</v>
      </c>
      <c r="F124" s="536" t="s">
        <v>128</v>
      </c>
    </row>
    <row r="125" spans="1:6" s="537" customFormat="1">
      <c r="A125" s="532" t="s">
        <v>128</v>
      </c>
      <c r="B125" s="533">
        <v>4279</v>
      </c>
      <c r="C125" s="534" t="s">
        <v>196</v>
      </c>
      <c r="D125" s="535">
        <v>5729</v>
      </c>
      <c r="E125" s="536" t="s">
        <v>128</v>
      </c>
      <c r="F125" s="536" t="s">
        <v>128</v>
      </c>
    </row>
    <row r="126" spans="1:6" s="537" customFormat="1">
      <c r="A126" s="532" t="s">
        <v>128</v>
      </c>
      <c r="B126" s="533">
        <v>4300</v>
      </c>
      <c r="C126" s="534" t="s">
        <v>197</v>
      </c>
      <c r="D126" s="535">
        <v>15000</v>
      </c>
      <c r="E126" s="536" t="s">
        <v>128</v>
      </c>
      <c r="F126" s="536" t="s">
        <v>128</v>
      </c>
    </row>
    <row r="127" spans="1:6" s="537" customFormat="1">
      <c r="A127" s="532" t="s">
        <v>128</v>
      </c>
      <c r="B127" s="533">
        <v>4307</v>
      </c>
      <c r="C127" s="534" t="s">
        <v>197</v>
      </c>
      <c r="D127" s="535">
        <v>10953276</v>
      </c>
      <c r="E127" s="536" t="s">
        <v>128</v>
      </c>
      <c r="F127" s="536" t="s">
        <v>128</v>
      </c>
    </row>
    <row r="128" spans="1:6" s="537" customFormat="1">
      <c r="A128" s="532" t="s">
        <v>128</v>
      </c>
      <c r="B128" s="533">
        <v>4309</v>
      </c>
      <c r="C128" s="534" t="s">
        <v>197</v>
      </c>
      <c r="D128" s="535">
        <v>1212145</v>
      </c>
      <c r="E128" s="536" t="s">
        <v>128</v>
      </c>
      <c r="F128" s="536" t="s">
        <v>128</v>
      </c>
    </row>
    <row r="129" spans="1:6" s="537" customFormat="1">
      <c r="A129" s="532" t="s">
        <v>128</v>
      </c>
      <c r="B129" s="533">
        <v>4367</v>
      </c>
      <c r="C129" s="534" t="s">
        <v>641</v>
      </c>
      <c r="D129" s="535">
        <v>14952</v>
      </c>
      <c r="E129" s="536" t="s">
        <v>128</v>
      </c>
      <c r="F129" s="536" t="s">
        <v>128</v>
      </c>
    </row>
    <row r="130" spans="1:6" s="537" customFormat="1">
      <c r="A130" s="532" t="s">
        <v>128</v>
      </c>
      <c r="B130" s="533">
        <v>4369</v>
      </c>
      <c r="C130" s="534" t="s">
        <v>641</v>
      </c>
      <c r="D130" s="535">
        <v>1760</v>
      </c>
      <c r="E130" s="536" t="s">
        <v>128</v>
      </c>
      <c r="F130" s="536" t="s">
        <v>128</v>
      </c>
    </row>
    <row r="131" spans="1:6" s="537" customFormat="1">
      <c r="A131" s="532" t="s">
        <v>128</v>
      </c>
      <c r="B131" s="533">
        <v>4407</v>
      </c>
      <c r="C131" s="534" t="s">
        <v>643</v>
      </c>
      <c r="D131" s="535">
        <v>339894</v>
      </c>
      <c r="E131" s="536" t="s">
        <v>128</v>
      </c>
      <c r="F131" s="536" t="s">
        <v>128</v>
      </c>
    </row>
    <row r="132" spans="1:6" s="537" customFormat="1">
      <c r="A132" s="532" t="s">
        <v>128</v>
      </c>
      <c r="B132" s="533">
        <v>4409</v>
      </c>
      <c r="C132" s="534" t="s">
        <v>643</v>
      </c>
      <c r="D132" s="535">
        <v>40003</v>
      </c>
      <c r="E132" s="536" t="s">
        <v>128</v>
      </c>
      <c r="F132" s="536" t="s">
        <v>128</v>
      </c>
    </row>
    <row r="133" spans="1:6" s="537" customFormat="1">
      <c r="A133" s="532" t="s">
        <v>128</v>
      </c>
      <c r="B133" s="533">
        <v>4417</v>
      </c>
      <c r="C133" s="534" t="s">
        <v>198</v>
      </c>
      <c r="D133" s="535">
        <v>99231</v>
      </c>
      <c r="E133" s="536" t="s">
        <v>128</v>
      </c>
      <c r="F133" s="536" t="s">
        <v>128</v>
      </c>
    </row>
    <row r="134" spans="1:6" s="537" customFormat="1" ht="16.5" customHeight="1">
      <c r="A134" s="542" t="s">
        <v>128</v>
      </c>
      <c r="B134" s="543">
        <v>4419</v>
      </c>
      <c r="C134" s="544" t="s">
        <v>198</v>
      </c>
      <c r="D134" s="545">
        <v>11679</v>
      </c>
      <c r="E134" s="536" t="s">
        <v>128</v>
      </c>
      <c r="F134" s="536" t="s">
        <v>128</v>
      </c>
    </row>
    <row r="135" spans="1:6" s="537" customFormat="1">
      <c r="A135" s="546" t="s">
        <v>128</v>
      </c>
      <c r="B135" s="547">
        <v>4437</v>
      </c>
      <c r="C135" s="548" t="s">
        <v>645</v>
      </c>
      <c r="D135" s="549">
        <v>3142</v>
      </c>
      <c r="E135" s="536" t="s">
        <v>128</v>
      </c>
      <c r="F135" s="536" t="s">
        <v>128</v>
      </c>
    </row>
    <row r="136" spans="1:6" s="537" customFormat="1">
      <c r="A136" s="532" t="s">
        <v>128</v>
      </c>
      <c r="B136" s="533">
        <v>4439</v>
      </c>
      <c r="C136" s="534" t="s">
        <v>645</v>
      </c>
      <c r="D136" s="535">
        <v>370</v>
      </c>
      <c r="E136" s="536" t="s">
        <v>128</v>
      </c>
      <c r="F136" s="536" t="s">
        <v>128</v>
      </c>
    </row>
    <row r="137" spans="1:6" s="537" customFormat="1">
      <c r="A137" s="532" t="s">
        <v>128</v>
      </c>
      <c r="B137" s="533">
        <v>4487</v>
      </c>
      <c r="C137" s="534" t="s">
        <v>649</v>
      </c>
      <c r="D137" s="535">
        <v>4051</v>
      </c>
      <c r="E137" s="536" t="s">
        <v>128</v>
      </c>
      <c r="F137" s="536" t="s">
        <v>128</v>
      </c>
    </row>
    <row r="138" spans="1:6" s="537" customFormat="1">
      <c r="A138" s="532" t="s">
        <v>128</v>
      </c>
      <c r="B138" s="533">
        <v>4489</v>
      </c>
      <c r="C138" s="534" t="s">
        <v>649</v>
      </c>
      <c r="D138" s="535">
        <v>477</v>
      </c>
      <c r="E138" s="536" t="s">
        <v>128</v>
      </c>
      <c r="F138" s="536" t="s">
        <v>128</v>
      </c>
    </row>
    <row r="139" spans="1:6" s="537" customFormat="1">
      <c r="A139" s="532" t="s">
        <v>128</v>
      </c>
      <c r="B139" s="533">
        <v>4707</v>
      </c>
      <c r="C139" s="534" t="s">
        <v>646</v>
      </c>
      <c r="D139" s="535">
        <v>61998</v>
      </c>
      <c r="E139" s="536" t="s">
        <v>128</v>
      </c>
      <c r="F139" s="536" t="s">
        <v>128</v>
      </c>
    </row>
    <row r="140" spans="1:6" s="537" customFormat="1">
      <c r="A140" s="532" t="s">
        <v>128</v>
      </c>
      <c r="B140" s="533">
        <v>4709</v>
      </c>
      <c r="C140" s="534" t="s">
        <v>646</v>
      </c>
      <c r="D140" s="535">
        <v>7297</v>
      </c>
      <c r="E140" s="536" t="s">
        <v>128</v>
      </c>
      <c r="F140" s="536" t="s">
        <v>128</v>
      </c>
    </row>
    <row r="141" spans="1:6" s="537" customFormat="1">
      <c r="A141" s="532" t="s">
        <v>128</v>
      </c>
      <c r="B141" s="533">
        <v>4717</v>
      </c>
      <c r="C141" s="534" t="s">
        <v>204</v>
      </c>
      <c r="D141" s="535">
        <v>50185</v>
      </c>
      <c r="E141" s="536" t="s">
        <v>128</v>
      </c>
      <c r="F141" s="536" t="s">
        <v>128</v>
      </c>
    </row>
    <row r="142" spans="1:6" s="537" customFormat="1" ht="12.75" customHeight="1">
      <c r="A142" s="532" t="s">
        <v>128</v>
      </c>
      <c r="B142" s="533">
        <v>4719</v>
      </c>
      <c r="C142" s="534" t="s">
        <v>204</v>
      </c>
      <c r="D142" s="535">
        <v>5906</v>
      </c>
      <c r="E142" s="536" t="s">
        <v>128</v>
      </c>
      <c r="F142" s="536" t="s">
        <v>128</v>
      </c>
    </row>
    <row r="143" spans="1:6" s="527" customFormat="1">
      <c r="A143" s="522">
        <v>600</v>
      </c>
      <c r="B143" s="523" t="s">
        <v>128</v>
      </c>
      <c r="C143" s="524" t="s">
        <v>24</v>
      </c>
      <c r="D143" s="525">
        <f>D144+D152+D154+D160+D162+D184+D186+D188+D190+D192</f>
        <v>752283115</v>
      </c>
      <c r="E143" s="526" t="s">
        <v>128</v>
      </c>
      <c r="F143" s="526" t="s">
        <v>128</v>
      </c>
    </row>
    <row r="144" spans="1:6" s="527" customFormat="1" ht="15" customHeight="1">
      <c r="A144" s="528">
        <v>60001</v>
      </c>
      <c r="B144" s="529" t="s">
        <v>128</v>
      </c>
      <c r="C144" s="530" t="s">
        <v>68</v>
      </c>
      <c r="D144" s="531">
        <f>SUM(D145:D151)</f>
        <v>225325000</v>
      </c>
      <c r="E144" s="526" t="s">
        <v>128</v>
      </c>
      <c r="F144" s="526" t="s">
        <v>128</v>
      </c>
    </row>
    <row r="145" spans="1:6" s="537" customFormat="1" ht="12.75" customHeight="1">
      <c r="A145" s="532" t="s">
        <v>128</v>
      </c>
      <c r="B145" s="533">
        <v>2630</v>
      </c>
      <c r="C145" s="534" t="s">
        <v>650</v>
      </c>
      <c r="D145" s="535">
        <v>218100000</v>
      </c>
      <c r="E145" s="536" t="s">
        <v>128</v>
      </c>
      <c r="F145" s="536" t="s">
        <v>128</v>
      </c>
    </row>
    <row r="146" spans="1:6" s="537" customFormat="1">
      <c r="A146" s="532" t="s">
        <v>128</v>
      </c>
      <c r="B146" s="533">
        <v>4110</v>
      </c>
      <c r="C146" s="534" t="s">
        <v>190</v>
      </c>
      <c r="D146" s="535">
        <v>21500</v>
      </c>
      <c r="E146" s="536" t="s">
        <v>128</v>
      </c>
      <c r="F146" s="536" t="s">
        <v>128</v>
      </c>
    </row>
    <row r="147" spans="1:6" s="537" customFormat="1">
      <c r="A147" s="532" t="s">
        <v>128</v>
      </c>
      <c r="B147" s="533">
        <v>4120</v>
      </c>
      <c r="C147" s="534" t="s">
        <v>191</v>
      </c>
      <c r="D147" s="535">
        <v>3500</v>
      </c>
      <c r="E147" s="536" t="s">
        <v>128</v>
      </c>
      <c r="F147" s="536" t="s">
        <v>128</v>
      </c>
    </row>
    <row r="148" spans="1:6" s="537" customFormat="1">
      <c r="A148" s="532" t="s">
        <v>128</v>
      </c>
      <c r="B148" s="533">
        <v>4170</v>
      </c>
      <c r="C148" s="534" t="s">
        <v>192</v>
      </c>
      <c r="D148" s="535">
        <v>125000</v>
      </c>
      <c r="E148" s="536" t="s">
        <v>128</v>
      </c>
      <c r="F148" s="536" t="s">
        <v>128</v>
      </c>
    </row>
    <row r="149" spans="1:6" s="537" customFormat="1">
      <c r="A149" s="532" t="s">
        <v>128</v>
      </c>
      <c r="B149" s="533">
        <v>4300</v>
      </c>
      <c r="C149" s="534" t="s">
        <v>197</v>
      </c>
      <c r="D149" s="535">
        <v>150000</v>
      </c>
      <c r="E149" s="536" t="s">
        <v>128</v>
      </c>
      <c r="F149" s="536" t="s">
        <v>128</v>
      </c>
    </row>
    <row r="150" spans="1:6" s="537" customFormat="1">
      <c r="A150" s="532" t="s">
        <v>128</v>
      </c>
      <c r="B150" s="533">
        <v>4390</v>
      </c>
      <c r="C150" s="534" t="s">
        <v>651</v>
      </c>
      <c r="D150" s="535">
        <v>50000</v>
      </c>
      <c r="E150" s="536" t="s">
        <v>128</v>
      </c>
      <c r="F150" s="536" t="s">
        <v>128</v>
      </c>
    </row>
    <row r="151" spans="1:6" s="537" customFormat="1">
      <c r="A151" s="532" t="s">
        <v>128</v>
      </c>
      <c r="B151" s="533">
        <v>6060</v>
      </c>
      <c r="C151" s="534" t="s">
        <v>263</v>
      </c>
      <c r="D151" s="535">
        <v>6875000</v>
      </c>
      <c r="E151" s="536" t="s">
        <v>128</v>
      </c>
      <c r="F151" s="536" t="s">
        <v>128</v>
      </c>
    </row>
    <row r="152" spans="1:6" s="527" customFormat="1">
      <c r="A152" s="528">
        <v>60002</v>
      </c>
      <c r="B152" s="529" t="s">
        <v>128</v>
      </c>
      <c r="C152" s="530" t="s">
        <v>326</v>
      </c>
      <c r="D152" s="531">
        <f>D153</f>
        <v>200000</v>
      </c>
      <c r="E152" s="526" t="s">
        <v>128</v>
      </c>
      <c r="F152" s="526" t="s">
        <v>128</v>
      </c>
    </row>
    <row r="153" spans="1:6" s="537" customFormat="1">
      <c r="A153" s="532" t="s">
        <v>128</v>
      </c>
      <c r="B153" s="533">
        <v>6050</v>
      </c>
      <c r="C153" s="534" t="s">
        <v>203</v>
      </c>
      <c r="D153" s="535">
        <v>200000</v>
      </c>
      <c r="E153" s="536" t="s">
        <v>128</v>
      </c>
      <c r="F153" s="536" t="s">
        <v>128</v>
      </c>
    </row>
    <row r="154" spans="1:6" s="527" customFormat="1">
      <c r="A154" s="528">
        <v>60003</v>
      </c>
      <c r="B154" s="529" t="s">
        <v>128</v>
      </c>
      <c r="C154" s="530" t="s">
        <v>49</v>
      </c>
      <c r="D154" s="531">
        <f>SUM(D155:D159)</f>
        <v>43411038</v>
      </c>
      <c r="E154" s="526" t="s">
        <v>128</v>
      </c>
      <c r="F154" s="526" t="s">
        <v>128</v>
      </c>
    </row>
    <row r="155" spans="1:6" s="507" customFormat="1" ht="29.25" customHeight="1">
      <c r="A155" s="502" t="s">
        <v>128</v>
      </c>
      <c r="B155" s="503">
        <v>2310</v>
      </c>
      <c r="C155" s="504" t="s">
        <v>647</v>
      </c>
      <c r="D155" s="505">
        <v>1400000</v>
      </c>
      <c r="E155" s="506" t="s">
        <v>128</v>
      </c>
      <c r="F155" s="506" t="s">
        <v>128</v>
      </c>
    </row>
    <row r="156" spans="1:6" s="507" customFormat="1" ht="29.25" customHeight="1">
      <c r="A156" s="502" t="s">
        <v>128</v>
      </c>
      <c r="B156" s="503">
        <v>2320</v>
      </c>
      <c r="C156" s="504" t="s">
        <v>652</v>
      </c>
      <c r="D156" s="505">
        <v>4121000</v>
      </c>
      <c r="E156" s="506" t="s">
        <v>128</v>
      </c>
      <c r="F156" s="506" t="s">
        <v>128</v>
      </c>
    </row>
    <row r="157" spans="1:6" s="507" customFormat="1" ht="29.25" customHeight="1">
      <c r="A157" s="502" t="s">
        <v>128</v>
      </c>
      <c r="B157" s="503">
        <v>2830</v>
      </c>
      <c r="C157" s="504" t="s">
        <v>653</v>
      </c>
      <c r="D157" s="505">
        <v>37700000</v>
      </c>
      <c r="E157" s="506" t="s">
        <v>128</v>
      </c>
      <c r="F157" s="506" t="s">
        <v>128</v>
      </c>
    </row>
    <row r="158" spans="1:6" s="507" customFormat="1" ht="42.75" customHeight="1">
      <c r="A158" s="502" t="s">
        <v>128</v>
      </c>
      <c r="B158" s="503">
        <v>2910</v>
      </c>
      <c r="C158" s="504" t="s">
        <v>639</v>
      </c>
      <c r="D158" s="505">
        <v>168000</v>
      </c>
      <c r="E158" s="506" t="s">
        <v>128</v>
      </c>
      <c r="F158" s="506" t="s">
        <v>128</v>
      </c>
    </row>
    <row r="159" spans="1:6" s="507" customFormat="1" ht="42.75" customHeight="1">
      <c r="A159" s="502" t="s">
        <v>128</v>
      </c>
      <c r="B159" s="503">
        <v>4560</v>
      </c>
      <c r="C159" s="504" t="s">
        <v>654</v>
      </c>
      <c r="D159" s="505">
        <v>22038</v>
      </c>
      <c r="E159" s="506" t="s">
        <v>128</v>
      </c>
      <c r="F159" s="506" t="s">
        <v>128</v>
      </c>
    </row>
    <row r="160" spans="1:6" s="527" customFormat="1" ht="18" customHeight="1">
      <c r="A160" s="528">
        <v>60004</v>
      </c>
      <c r="B160" s="529" t="s">
        <v>128</v>
      </c>
      <c r="C160" s="530" t="s">
        <v>328</v>
      </c>
      <c r="D160" s="531">
        <f>D161</f>
        <v>7500000</v>
      </c>
      <c r="E160" s="526" t="s">
        <v>128</v>
      </c>
      <c r="F160" s="526" t="s">
        <v>128</v>
      </c>
    </row>
    <row r="161" spans="1:6" s="507" customFormat="1" ht="30.75" customHeight="1">
      <c r="A161" s="502" t="s">
        <v>128</v>
      </c>
      <c r="B161" s="503">
        <v>2830</v>
      </c>
      <c r="C161" s="504" t="s">
        <v>653</v>
      </c>
      <c r="D161" s="505">
        <v>7500000</v>
      </c>
      <c r="E161" s="506" t="s">
        <v>128</v>
      </c>
      <c r="F161" s="506" t="s">
        <v>128</v>
      </c>
    </row>
    <row r="162" spans="1:6" s="527" customFormat="1">
      <c r="A162" s="528">
        <v>60013</v>
      </c>
      <c r="B162" s="529" t="s">
        <v>128</v>
      </c>
      <c r="C162" s="530" t="s">
        <v>69</v>
      </c>
      <c r="D162" s="531">
        <f>SUM(D163:D183)</f>
        <v>432024862</v>
      </c>
      <c r="E162" s="526" t="s">
        <v>128</v>
      </c>
      <c r="F162" s="526" t="s">
        <v>128</v>
      </c>
    </row>
    <row r="163" spans="1:6" s="537" customFormat="1">
      <c r="A163" s="532" t="s">
        <v>128</v>
      </c>
      <c r="B163" s="533">
        <v>4017</v>
      </c>
      <c r="C163" s="534" t="s">
        <v>188</v>
      </c>
      <c r="D163" s="535">
        <v>796954</v>
      </c>
      <c r="E163" s="536" t="s">
        <v>128</v>
      </c>
      <c r="F163" s="536" t="s">
        <v>128</v>
      </c>
    </row>
    <row r="164" spans="1:6" s="537" customFormat="1">
      <c r="A164" s="532" t="s">
        <v>128</v>
      </c>
      <c r="B164" s="533">
        <v>4019</v>
      </c>
      <c r="C164" s="534" t="s">
        <v>188</v>
      </c>
      <c r="D164" s="535">
        <v>140638</v>
      </c>
      <c r="E164" s="536" t="s">
        <v>128</v>
      </c>
      <c r="F164" s="536" t="s">
        <v>128</v>
      </c>
    </row>
    <row r="165" spans="1:6" s="537" customFormat="1">
      <c r="A165" s="532" t="s">
        <v>128</v>
      </c>
      <c r="B165" s="533">
        <v>4117</v>
      </c>
      <c r="C165" s="534" t="s">
        <v>190</v>
      </c>
      <c r="D165" s="535">
        <v>139789</v>
      </c>
      <c r="E165" s="536" t="s">
        <v>128</v>
      </c>
      <c r="F165" s="536" t="s">
        <v>128</v>
      </c>
    </row>
    <row r="166" spans="1:6" s="537" customFormat="1">
      <c r="A166" s="532" t="s">
        <v>128</v>
      </c>
      <c r="B166" s="533">
        <v>4119</v>
      </c>
      <c r="C166" s="534" t="s">
        <v>190</v>
      </c>
      <c r="D166" s="535">
        <v>24669</v>
      </c>
      <c r="E166" s="536" t="s">
        <v>128</v>
      </c>
      <c r="F166" s="536" t="s">
        <v>128</v>
      </c>
    </row>
    <row r="167" spans="1:6" s="537" customFormat="1">
      <c r="A167" s="532" t="s">
        <v>128</v>
      </c>
      <c r="B167" s="533">
        <v>4127</v>
      </c>
      <c r="C167" s="534" t="s">
        <v>191</v>
      </c>
      <c r="D167" s="535">
        <v>19525</v>
      </c>
      <c r="E167" s="536" t="s">
        <v>128</v>
      </c>
      <c r="F167" s="536" t="s">
        <v>128</v>
      </c>
    </row>
    <row r="168" spans="1:6" s="537" customFormat="1">
      <c r="A168" s="532" t="s">
        <v>128</v>
      </c>
      <c r="B168" s="533">
        <v>4129</v>
      </c>
      <c r="C168" s="534" t="s">
        <v>191</v>
      </c>
      <c r="D168" s="535">
        <v>3446</v>
      </c>
      <c r="E168" s="536" t="s">
        <v>128</v>
      </c>
      <c r="F168" s="536" t="s">
        <v>128</v>
      </c>
    </row>
    <row r="169" spans="1:6" s="537" customFormat="1">
      <c r="A169" s="532" t="s">
        <v>128</v>
      </c>
      <c r="B169" s="533">
        <v>4210</v>
      </c>
      <c r="C169" s="534" t="s">
        <v>194</v>
      </c>
      <c r="D169" s="535">
        <v>7000000</v>
      </c>
      <c r="E169" s="536" t="s">
        <v>128</v>
      </c>
      <c r="F169" s="536" t="s">
        <v>128</v>
      </c>
    </row>
    <row r="170" spans="1:6" s="537" customFormat="1">
      <c r="A170" s="532" t="s">
        <v>128</v>
      </c>
      <c r="B170" s="533">
        <v>4260</v>
      </c>
      <c r="C170" s="534" t="s">
        <v>640</v>
      </c>
      <c r="D170" s="535">
        <v>633000</v>
      </c>
      <c r="E170" s="536" t="s">
        <v>128</v>
      </c>
      <c r="F170" s="536" t="s">
        <v>128</v>
      </c>
    </row>
    <row r="171" spans="1:6" s="537" customFormat="1">
      <c r="A171" s="532" t="s">
        <v>128</v>
      </c>
      <c r="B171" s="533">
        <v>4270</v>
      </c>
      <c r="C171" s="534" t="s">
        <v>196</v>
      </c>
      <c r="D171" s="535">
        <v>35981084</v>
      </c>
      <c r="E171" s="536" t="s">
        <v>128</v>
      </c>
      <c r="F171" s="536" t="s">
        <v>128</v>
      </c>
    </row>
    <row r="172" spans="1:6" s="537" customFormat="1">
      <c r="A172" s="532" t="s">
        <v>128</v>
      </c>
      <c r="B172" s="533">
        <v>4300</v>
      </c>
      <c r="C172" s="534" t="s">
        <v>197</v>
      </c>
      <c r="D172" s="535">
        <v>20000000</v>
      </c>
      <c r="E172" s="536" t="s">
        <v>128</v>
      </c>
      <c r="F172" s="536" t="s">
        <v>128</v>
      </c>
    </row>
    <row r="173" spans="1:6" s="537" customFormat="1">
      <c r="A173" s="532" t="s">
        <v>128</v>
      </c>
      <c r="B173" s="533">
        <v>4390</v>
      </c>
      <c r="C173" s="534" t="s">
        <v>651</v>
      </c>
      <c r="D173" s="535">
        <v>462600</v>
      </c>
      <c r="E173" s="536" t="s">
        <v>128</v>
      </c>
      <c r="F173" s="536" t="s">
        <v>128</v>
      </c>
    </row>
    <row r="174" spans="1:6" s="537" customFormat="1">
      <c r="A174" s="532" t="s">
        <v>128</v>
      </c>
      <c r="B174" s="533">
        <v>4430</v>
      </c>
      <c r="C174" s="534" t="s">
        <v>645</v>
      </c>
      <c r="D174" s="535">
        <v>1255000</v>
      </c>
      <c r="E174" s="536" t="s">
        <v>128</v>
      </c>
      <c r="F174" s="536" t="s">
        <v>128</v>
      </c>
    </row>
    <row r="175" spans="1:6" s="537" customFormat="1">
      <c r="A175" s="532" t="s">
        <v>128</v>
      </c>
      <c r="B175" s="533">
        <v>4510</v>
      </c>
      <c r="C175" s="534" t="s">
        <v>655</v>
      </c>
      <c r="D175" s="535">
        <v>38316</v>
      </c>
      <c r="E175" s="536" t="s">
        <v>128</v>
      </c>
      <c r="F175" s="536" t="s">
        <v>128</v>
      </c>
    </row>
    <row r="176" spans="1:6" s="537" customFormat="1">
      <c r="A176" s="532" t="s">
        <v>128</v>
      </c>
      <c r="B176" s="533">
        <v>4520</v>
      </c>
      <c r="C176" s="534" t="s">
        <v>656</v>
      </c>
      <c r="D176" s="535">
        <v>650000</v>
      </c>
      <c r="E176" s="536" t="s">
        <v>128</v>
      </c>
      <c r="F176" s="536" t="s">
        <v>128</v>
      </c>
    </row>
    <row r="177" spans="1:6" s="537" customFormat="1">
      <c r="A177" s="532" t="s">
        <v>128</v>
      </c>
      <c r="B177" s="533">
        <v>4717</v>
      </c>
      <c r="C177" s="534" t="s">
        <v>204</v>
      </c>
      <c r="D177" s="535">
        <v>10742</v>
      </c>
      <c r="E177" s="536" t="s">
        <v>128</v>
      </c>
      <c r="F177" s="536" t="s">
        <v>128</v>
      </c>
    </row>
    <row r="178" spans="1:6" s="537" customFormat="1">
      <c r="A178" s="532" t="s">
        <v>128</v>
      </c>
      <c r="B178" s="533">
        <v>4719</v>
      </c>
      <c r="C178" s="534" t="s">
        <v>204</v>
      </c>
      <c r="D178" s="535">
        <v>1896</v>
      </c>
      <c r="E178" s="536" t="s">
        <v>128</v>
      </c>
      <c r="F178" s="536" t="s">
        <v>128</v>
      </c>
    </row>
    <row r="179" spans="1:6" s="537" customFormat="1">
      <c r="A179" s="532" t="s">
        <v>128</v>
      </c>
      <c r="B179" s="533">
        <v>6050</v>
      </c>
      <c r="C179" s="534" t="s">
        <v>203</v>
      </c>
      <c r="D179" s="535">
        <v>253955194</v>
      </c>
      <c r="E179" s="536" t="s">
        <v>128</v>
      </c>
      <c r="F179" s="536" t="s">
        <v>128</v>
      </c>
    </row>
    <row r="180" spans="1:6" s="537" customFormat="1">
      <c r="A180" s="532" t="s">
        <v>128</v>
      </c>
      <c r="B180" s="533">
        <v>6057</v>
      </c>
      <c r="C180" s="534" t="s">
        <v>203</v>
      </c>
      <c r="D180" s="535">
        <v>79123959</v>
      </c>
      <c r="E180" s="536" t="s">
        <v>128</v>
      </c>
      <c r="F180" s="536" t="s">
        <v>128</v>
      </c>
    </row>
    <row r="181" spans="1:6" s="537" customFormat="1">
      <c r="A181" s="532" t="s">
        <v>128</v>
      </c>
      <c r="B181" s="533">
        <v>6059</v>
      </c>
      <c r="C181" s="534" t="s">
        <v>203</v>
      </c>
      <c r="D181" s="535">
        <v>13963050</v>
      </c>
      <c r="E181" s="536" t="s">
        <v>128</v>
      </c>
      <c r="F181" s="536" t="s">
        <v>128</v>
      </c>
    </row>
    <row r="182" spans="1:6" s="537" customFormat="1">
      <c r="A182" s="532" t="s">
        <v>128</v>
      </c>
      <c r="B182" s="533">
        <v>6060</v>
      </c>
      <c r="C182" s="534" t="s">
        <v>263</v>
      </c>
      <c r="D182" s="535">
        <v>5000000</v>
      </c>
      <c r="E182" s="536" t="s">
        <v>128</v>
      </c>
      <c r="F182" s="536" t="s">
        <v>128</v>
      </c>
    </row>
    <row r="183" spans="1:6" s="537" customFormat="1" ht="25.5">
      <c r="A183" s="532"/>
      <c r="B183" s="533">
        <v>6370</v>
      </c>
      <c r="C183" s="534" t="s">
        <v>1164</v>
      </c>
      <c r="D183" s="535">
        <v>12825000</v>
      </c>
      <c r="E183" s="536"/>
      <c r="F183" s="536"/>
    </row>
    <row r="184" spans="1:6" s="527" customFormat="1">
      <c r="A184" s="528">
        <v>60014</v>
      </c>
      <c r="B184" s="529" t="s">
        <v>128</v>
      </c>
      <c r="C184" s="530" t="s">
        <v>330</v>
      </c>
      <c r="D184" s="531">
        <f>D185</f>
        <v>3864000</v>
      </c>
      <c r="E184" s="526" t="s">
        <v>128</v>
      </c>
      <c r="F184" s="526" t="s">
        <v>128</v>
      </c>
    </row>
    <row r="185" spans="1:6" s="507" customFormat="1" ht="32.25" customHeight="1">
      <c r="A185" s="502" t="s">
        <v>128</v>
      </c>
      <c r="B185" s="503">
        <v>6300</v>
      </c>
      <c r="C185" s="504" t="s">
        <v>657</v>
      </c>
      <c r="D185" s="505">
        <v>3864000</v>
      </c>
      <c r="E185" s="506" t="s">
        <v>128</v>
      </c>
      <c r="F185" s="506" t="s">
        <v>128</v>
      </c>
    </row>
    <row r="186" spans="1:6" s="527" customFormat="1">
      <c r="A186" s="528">
        <v>60016</v>
      </c>
      <c r="B186" s="529" t="s">
        <v>128</v>
      </c>
      <c r="C186" s="530" t="s">
        <v>331</v>
      </c>
      <c r="D186" s="531">
        <f>D187</f>
        <v>150000</v>
      </c>
      <c r="E186" s="526" t="s">
        <v>128</v>
      </c>
      <c r="F186" s="526" t="s">
        <v>128</v>
      </c>
    </row>
    <row r="187" spans="1:6" s="507" customFormat="1" ht="28.5" customHeight="1">
      <c r="A187" s="502" t="s">
        <v>128</v>
      </c>
      <c r="B187" s="503">
        <v>6300</v>
      </c>
      <c r="C187" s="504" t="s">
        <v>657</v>
      </c>
      <c r="D187" s="505">
        <v>150000</v>
      </c>
      <c r="E187" s="506" t="s">
        <v>128</v>
      </c>
      <c r="F187" s="506" t="s">
        <v>128</v>
      </c>
    </row>
    <row r="188" spans="1:6" s="527" customFormat="1">
      <c r="A188" s="528">
        <v>60017</v>
      </c>
      <c r="B188" s="529" t="s">
        <v>128</v>
      </c>
      <c r="C188" s="530" t="s">
        <v>658</v>
      </c>
      <c r="D188" s="531">
        <f>D189</f>
        <v>26624202</v>
      </c>
      <c r="E188" s="526" t="s">
        <v>128</v>
      </c>
      <c r="F188" s="526" t="s">
        <v>128</v>
      </c>
    </row>
    <row r="189" spans="1:6" s="507" customFormat="1" ht="30" customHeight="1">
      <c r="A189" s="502" t="s">
        <v>128</v>
      </c>
      <c r="B189" s="503">
        <v>6220</v>
      </c>
      <c r="C189" s="504" t="s">
        <v>260</v>
      </c>
      <c r="D189" s="505">
        <v>26624202</v>
      </c>
      <c r="E189" s="506" t="s">
        <v>128</v>
      </c>
      <c r="F189" s="506" t="s">
        <v>128</v>
      </c>
    </row>
    <row r="190" spans="1:6" s="527" customFormat="1">
      <c r="A190" s="528">
        <v>60041</v>
      </c>
      <c r="B190" s="529" t="s">
        <v>128</v>
      </c>
      <c r="C190" s="530" t="s">
        <v>334</v>
      </c>
      <c r="D190" s="531">
        <f>D191</f>
        <v>11499978</v>
      </c>
      <c r="E190" s="526" t="s">
        <v>128</v>
      </c>
      <c r="F190" s="526" t="s">
        <v>128</v>
      </c>
    </row>
    <row r="191" spans="1:6" s="507" customFormat="1" ht="15.75" customHeight="1">
      <c r="A191" s="502" t="s">
        <v>128</v>
      </c>
      <c r="B191" s="503">
        <v>6010</v>
      </c>
      <c r="C191" s="504" t="s">
        <v>659</v>
      </c>
      <c r="D191" s="505">
        <v>11499978</v>
      </c>
      <c r="E191" s="506" t="s">
        <v>128</v>
      </c>
      <c r="F191" s="506" t="s">
        <v>128</v>
      </c>
    </row>
    <row r="192" spans="1:6" s="527" customFormat="1" ht="18.75" customHeight="1">
      <c r="A192" s="538">
        <v>60095</v>
      </c>
      <c r="B192" s="539" t="s">
        <v>128</v>
      </c>
      <c r="C192" s="540" t="s">
        <v>46</v>
      </c>
      <c r="D192" s="541">
        <f>SUM(D193:D202)</f>
        <v>1684035</v>
      </c>
      <c r="E192" s="526" t="s">
        <v>128</v>
      </c>
      <c r="F192" s="526" t="s">
        <v>128</v>
      </c>
    </row>
    <row r="193" spans="1:6" s="507" customFormat="1" ht="27.75" customHeight="1">
      <c r="A193" s="508" t="s">
        <v>128</v>
      </c>
      <c r="B193" s="509">
        <v>2330</v>
      </c>
      <c r="C193" s="510" t="s">
        <v>660</v>
      </c>
      <c r="D193" s="511">
        <v>50000</v>
      </c>
      <c r="E193" s="506" t="s">
        <v>128</v>
      </c>
      <c r="F193" s="506" t="s">
        <v>128</v>
      </c>
    </row>
    <row r="194" spans="1:6" s="537" customFormat="1">
      <c r="A194" s="532" t="s">
        <v>128</v>
      </c>
      <c r="B194" s="533">
        <v>4010</v>
      </c>
      <c r="C194" s="534" t="s">
        <v>188</v>
      </c>
      <c r="D194" s="535">
        <v>181818</v>
      </c>
      <c r="E194" s="536" t="s">
        <v>128</v>
      </c>
      <c r="F194" s="536" t="s">
        <v>128</v>
      </c>
    </row>
    <row r="195" spans="1:6" s="537" customFormat="1">
      <c r="A195" s="532" t="s">
        <v>128</v>
      </c>
      <c r="B195" s="533">
        <v>4040</v>
      </c>
      <c r="C195" s="534" t="s">
        <v>189</v>
      </c>
      <c r="D195" s="535">
        <v>31255</v>
      </c>
      <c r="E195" s="536" t="s">
        <v>128</v>
      </c>
      <c r="F195" s="536" t="s">
        <v>128</v>
      </c>
    </row>
    <row r="196" spans="1:6" s="537" customFormat="1">
      <c r="A196" s="532" t="s">
        <v>128</v>
      </c>
      <c r="B196" s="533">
        <v>4110</v>
      </c>
      <c r="C196" s="534" t="s">
        <v>190</v>
      </c>
      <c r="D196" s="535">
        <v>15472</v>
      </c>
      <c r="E196" s="536" t="s">
        <v>128</v>
      </c>
      <c r="F196" s="536" t="s">
        <v>128</v>
      </c>
    </row>
    <row r="197" spans="1:6" s="537" customFormat="1" ht="12.75" customHeight="1">
      <c r="A197" s="532" t="s">
        <v>128</v>
      </c>
      <c r="B197" s="533">
        <v>4120</v>
      </c>
      <c r="C197" s="534" t="s">
        <v>191</v>
      </c>
      <c r="D197" s="535">
        <v>4455</v>
      </c>
      <c r="E197" s="536" t="s">
        <v>128</v>
      </c>
      <c r="F197" s="536" t="s">
        <v>128</v>
      </c>
    </row>
    <row r="198" spans="1:6" s="537" customFormat="1" ht="12.75" customHeight="1">
      <c r="A198" s="532" t="s">
        <v>128</v>
      </c>
      <c r="B198" s="533">
        <v>4210</v>
      </c>
      <c r="C198" s="534" t="s">
        <v>194</v>
      </c>
      <c r="D198" s="535">
        <v>1000</v>
      </c>
      <c r="E198" s="536" t="s">
        <v>128</v>
      </c>
      <c r="F198" s="536" t="s">
        <v>128</v>
      </c>
    </row>
    <row r="199" spans="1:6" s="537" customFormat="1">
      <c r="A199" s="532" t="s">
        <v>128</v>
      </c>
      <c r="B199" s="533">
        <v>4300</v>
      </c>
      <c r="C199" s="534" t="s">
        <v>197</v>
      </c>
      <c r="D199" s="535">
        <v>1365000</v>
      </c>
      <c r="E199" s="536" t="s">
        <v>128</v>
      </c>
      <c r="F199" s="536" t="s">
        <v>128</v>
      </c>
    </row>
    <row r="200" spans="1:6" s="537" customFormat="1">
      <c r="A200" s="532" t="s">
        <v>128</v>
      </c>
      <c r="B200" s="533">
        <v>4410</v>
      </c>
      <c r="C200" s="534" t="s">
        <v>198</v>
      </c>
      <c r="D200" s="535">
        <v>4500</v>
      </c>
      <c r="E200" s="536" t="s">
        <v>128</v>
      </c>
      <c r="F200" s="536" t="s">
        <v>128</v>
      </c>
    </row>
    <row r="201" spans="1:6" s="537" customFormat="1">
      <c r="A201" s="532" t="s">
        <v>128</v>
      </c>
      <c r="B201" s="533">
        <v>4430</v>
      </c>
      <c r="C201" s="534" t="s">
        <v>645</v>
      </c>
      <c r="D201" s="535">
        <v>30035</v>
      </c>
      <c r="E201" s="536" t="s">
        <v>128</v>
      </c>
      <c r="F201" s="536" t="s">
        <v>128</v>
      </c>
    </row>
    <row r="202" spans="1:6" s="537" customFormat="1" ht="12.75" customHeight="1">
      <c r="A202" s="532" t="s">
        <v>128</v>
      </c>
      <c r="B202" s="533">
        <v>4510</v>
      </c>
      <c r="C202" s="534" t="s">
        <v>655</v>
      </c>
      <c r="D202" s="535">
        <v>500</v>
      </c>
      <c r="E202" s="536" t="s">
        <v>128</v>
      </c>
      <c r="F202" s="536" t="s">
        <v>128</v>
      </c>
    </row>
    <row r="203" spans="1:6" s="527" customFormat="1">
      <c r="A203" s="522">
        <v>630</v>
      </c>
      <c r="B203" s="523" t="s">
        <v>128</v>
      </c>
      <c r="C203" s="524" t="s">
        <v>56</v>
      </c>
      <c r="D203" s="525">
        <f>D204</f>
        <v>2133900</v>
      </c>
      <c r="E203" s="526" t="s">
        <v>128</v>
      </c>
      <c r="F203" s="526" t="s">
        <v>128</v>
      </c>
    </row>
    <row r="204" spans="1:6" s="527" customFormat="1" ht="16.5" customHeight="1">
      <c r="A204" s="528">
        <v>63095</v>
      </c>
      <c r="B204" s="529" t="s">
        <v>128</v>
      </c>
      <c r="C204" s="530" t="s">
        <v>46</v>
      </c>
      <c r="D204" s="531">
        <f>SUM(D205:D215)</f>
        <v>2133900</v>
      </c>
      <c r="E204" s="526" t="s">
        <v>128</v>
      </c>
      <c r="F204" s="526" t="s">
        <v>128</v>
      </c>
    </row>
    <row r="205" spans="1:6" s="507" customFormat="1" ht="40.5" customHeight="1">
      <c r="A205" s="502" t="s">
        <v>128</v>
      </c>
      <c r="B205" s="503">
        <v>2360</v>
      </c>
      <c r="C205" s="504" t="s">
        <v>648</v>
      </c>
      <c r="D205" s="505">
        <v>250000</v>
      </c>
      <c r="E205" s="506" t="s">
        <v>128</v>
      </c>
      <c r="F205" s="506" t="s">
        <v>128</v>
      </c>
    </row>
    <row r="206" spans="1:6" s="537" customFormat="1">
      <c r="A206" s="532" t="s">
        <v>128</v>
      </c>
      <c r="B206" s="533">
        <v>4010</v>
      </c>
      <c r="C206" s="534" t="s">
        <v>188</v>
      </c>
      <c r="D206" s="535">
        <v>162765</v>
      </c>
      <c r="E206" s="536" t="s">
        <v>128</v>
      </c>
      <c r="F206" s="536" t="s">
        <v>128</v>
      </c>
    </row>
    <row r="207" spans="1:6" s="537" customFormat="1">
      <c r="A207" s="532" t="s">
        <v>128</v>
      </c>
      <c r="B207" s="533">
        <v>4040</v>
      </c>
      <c r="C207" s="534" t="s">
        <v>189</v>
      </c>
      <c r="D207" s="535">
        <v>13600</v>
      </c>
      <c r="E207" s="536" t="s">
        <v>128</v>
      </c>
      <c r="F207" s="536" t="s">
        <v>128</v>
      </c>
    </row>
    <row r="208" spans="1:6" s="537" customFormat="1">
      <c r="A208" s="532" t="s">
        <v>128</v>
      </c>
      <c r="B208" s="533">
        <v>4110</v>
      </c>
      <c r="C208" s="534" t="s">
        <v>190</v>
      </c>
      <c r="D208" s="535">
        <v>30315</v>
      </c>
      <c r="E208" s="536" t="s">
        <v>128</v>
      </c>
      <c r="F208" s="536" t="s">
        <v>128</v>
      </c>
    </row>
    <row r="209" spans="1:6" s="537" customFormat="1">
      <c r="A209" s="532" t="s">
        <v>128</v>
      </c>
      <c r="B209" s="533">
        <v>4120</v>
      </c>
      <c r="C209" s="534" t="s">
        <v>191</v>
      </c>
      <c r="D209" s="535">
        <v>4320</v>
      </c>
      <c r="E209" s="536" t="s">
        <v>128</v>
      </c>
      <c r="F209" s="536" t="s">
        <v>128</v>
      </c>
    </row>
    <row r="210" spans="1:6" s="537" customFormat="1">
      <c r="A210" s="532" t="s">
        <v>128</v>
      </c>
      <c r="B210" s="533">
        <v>4210</v>
      </c>
      <c r="C210" s="534" t="s">
        <v>194</v>
      </c>
      <c r="D210" s="535">
        <v>5000</v>
      </c>
      <c r="E210" s="536" t="s">
        <v>128</v>
      </c>
      <c r="F210" s="536" t="s">
        <v>128</v>
      </c>
    </row>
    <row r="211" spans="1:6" s="537" customFormat="1">
      <c r="A211" s="532" t="s">
        <v>128</v>
      </c>
      <c r="B211" s="533">
        <v>4300</v>
      </c>
      <c r="C211" s="534" t="s">
        <v>197</v>
      </c>
      <c r="D211" s="535">
        <v>745000</v>
      </c>
      <c r="E211" s="536" t="s">
        <v>128</v>
      </c>
      <c r="F211" s="536" t="s">
        <v>128</v>
      </c>
    </row>
    <row r="212" spans="1:6" s="537" customFormat="1">
      <c r="A212" s="532" t="s">
        <v>128</v>
      </c>
      <c r="B212" s="533">
        <v>4430</v>
      </c>
      <c r="C212" s="534" t="s">
        <v>645</v>
      </c>
      <c r="D212" s="535">
        <v>900000</v>
      </c>
      <c r="E212" s="536" t="s">
        <v>128</v>
      </c>
      <c r="F212" s="536" t="s">
        <v>128</v>
      </c>
    </row>
    <row r="213" spans="1:6" s="537" customFormat="1">
      <c r="A213" s="532" t="s">
        <v>128</v>
      </c>
      <c r="B213" s="533">
        <v>4540</v>
      </c>
      <c r="C213" s="534" t="s">
        <v>661</v>
      </c>
      <c r="D213" s="535">
        <v>11900</v>
      </c>
      <c r="E213" s="536" t="s">
        <v>128</v>
      </c>
      <c r="F213" s="536" t="s">
        <v>128</v>
      </c>
    </row>
    <row r="214" spans="1:6" s="537" customFormat="1">
      <c r="A214" s="532" t="s">
        <v>128</v>
      </c>
      <c r="B214" s="533">
        <v>4700</v>
      </c>
      <c r="C214" s="534" t="s">
        <v>646</v>
      </c>
      <c r="D214" s="535">
        <v>10000</v>
      </c>
      <c r="E214" s="536" t="s">
        <v>128</v>
      </c>
      <c r="F214" s="536" t="s">
        <v>128</v>
      </c>
    </row>
    <row r="215" spans="1:6" s="537" customFormat="1" ht="12.75" customHeight="1">
      <c r="A215" s="532" t="s">
        <v>128</v>
      </c>
      <c r="B215" s="533">
        <v>4710</v>
      </c>
      <c r="C215" s="534" t="s">
        <v>204</v>
      </c>
      <c r="D215" s="535">
        <v>1000</v>
      </c>
      <c r="E215" s="536" t="s">
        <v>128</v>
      </c>
      <c r="F215" s="536" t="s">
        <v>128</v>
      </c>
    </row>
    <row r="216" spans="1:6" s="527" customFormat="1">
      <c r="A216" s="522">
        <v>700</v>
      </c>
      <c r="B216" s="523" t="s">
        <v>128</v>
      </c>
      <c r="C216" s="524" t="s">
        <v>26</v>
      </c>
      <c r="D216" s="525">
        <f>D217</f>
        <v>895140</v>
      </c>
      <c r="E216" s="526" t="s">
        <v>128</v>
      </c>
      <c r="F216" s="526" t="s">
        <v>128</v>
      </c>
    </row>
    <row r="217" spans="1:6" s="527" customFormat="1">
      <c r="A217" s="528">
        <v>70005</v>
      </c>
      <c r="B217" s="529" t="s">
        <v>128</v>
      </c>
      <c r="C217" s="530" t="s">
        <v>70</v>
      </c>
      <c r="D217" s="531">
        <f>SUM(D218:D228)</f>
        <v>895140</v>
      </c>
      <c r="E217" s="526" t="s">
        <v>128</v>
      </c>
      <c r="F217" s="526" t="s">
        <v>128</v>
      </c>
    </row>
    <row r="218" spans="1:6" s="537" customFormat="1">
      <c r="A218" s="532" t="s">
        <v>128</v>
      </c>
      <c r="B218" s="533">
        <v>4210</v>
      </c>
      <c r="C218" s="534" t="s">
        <v>194</v>
      </c>
      <c r="D218" s="535">
        <v>3000</v>
      </c>
      <c r="E218" s="536" t="s">
        <v>128</v>
      </c>
      <c r="F218" s="536" t="s">
        <v>128</v>
      </c>
    </row>
    <row r="219" spans="1:6" s="537" customFormat="1">
      <c r="A219" s="532" t="s">
        <v>128</v>
      </c>
      <c r="B219" s="533">
        <v>4260</v>
      </c>
      <c r="C219" s="534" t="s">
        <v>640</v>
      </c>
      <c r="D219" s="535">
        <v>300000</v>
      </c>
      <c r="E219" s="536" t="s">
        <v>128</v>
      </c>
      <c r="F219" s="536" t="s">
        <v>128</v>
      </c>
    </row>
    <row r="220" spans="1:6" s="537" customFormat="1">
      <c r="A220" s="532" t="s">
        <v>128</v>
      </c>
      <c r="B220" s="533">
        <v>4270</v>
      </c>
      <c r="C220" s="534" t="s">
        <v>196</v>
      </c>
      <c r="D220" s="535">
        <v>22500</v>
      </c>
      <c r="E220" s="536" t="s">
        <v>128</v>
      </c>
      <c r="F220" s="536" t="s">
        <v>128</v>
      </c>
    </row>
    <row r="221" spans="1:6" s="537" customFormat="1">
      <c r="A221" s="532" t="s">
        <v>128</v>
      </c>
      <c r="B221" s="533">
        <v>4300</v>
      </c>
      <c r="C221" s="534" t="s">
        <v>197</v>
      </c>
      <c r="D221" s="535">
        <v>245000</v>
      </c>
      <c r="E221" s="536" t="s">
        <v>128</v>
      </c>
      <c r="F221" s="536" t="s">
        <v>128</v>
      </c>
    </row>
    <row r="222" spans="1:6" s="537" customFormat="1">
      <c r="A222" s="532" t="s">
        <v>128</v>
      </c>
      <c r="B222" s="533">
        <v>4430</v>
      </c>
      <c r="C222" s="534" t="s">
        <v>645</v>
      </c>
      <c r="D222" s="535">
        <v>50000</v>
      </c>
      <c r="E222" s="536" t="s">
        <v>128</v>
      </c>
      <c r="F222" s="536" t="s">
        <v>128</v>
      </c>
    </row>
    <row r="223" spans="1:6" s="537" customFormat="1">
      <c r="A223" s="532" t="s">
        <v>128</v>
      </c>
      <c r="B223" s="533">
        <v>4480</v>
      </c>
      <c r="C223" s="534" t="s">
        <v>649</v>
      </c>
      <c r="D223" s="535">
        <v>200000</v>
      </c>
      <c r="E223" s="536" t="s">
        <v>128</v>
      </c>
      <c r="F223" s="536" t="s">
        <v>128</v>
      </c>
    </row>
    <row r="224" spans="1:6" s="537" customFormat="1">
      <c r="A224" s="532" t="s">
        <v>128</v>
      </c>
      <c r="B224" s="533">
        <v>4500</v>
      </c>
      <c r="C224" s="534" t="s">
        <v>662</v>
      </c>
      <c r="D224" s="535">
        <v>1000</v>
      </c>
      <c r="E224" s="536" t="s">
        <v>128</v>
      </c>
      <c r="F224" s="536" t="s">
        <v>128</v>
      </c>
    </row>
    <row r="225" spans="1:6" s="537" customFormat="1">
      <c r="A225" s="532" t="s">
        <v>128</v>
      </c>
      <c r="B225" s="533">
        <v>4510</v>
      </c>
      <c r="C225" s="534" t="s">
        <v>655</v>
      </c>
      <c r="D225" s="535">
        <v>29000</v>
      </c>
      <c r="E225" s="536" t="s">
        <v>128</v>
      </c>
      <c r="F225" s="536" t="s">
        <v>128</v>
      </c>
    </row>
    <row r="226" spans="1:6" s="537" customFormat="1">
      <c r="A226" s="532" t="s">
        <v>128</v>
      </c>
      <c r="B226" s="533">
        <v>4520</v>
      </c>
      <c r="C226" s="534" t="s">
        <v>656</v>
      </c>
      <c r="D226" s="535">
        <v>16700</v>
      </c>
      <c r="E226" s="536" t="s">
        <v>128</v>
      </c>
      <c r="F226" s="536" t="s">
        <v>128</v>
      </c>
    </row>
    <row r="227" spans="1:6" s="537" customFormat="1">
      <c r="A227" s="532" t="s">
        <v>128</v>
      </c>
      <c r="B227" s="533">
        <v>4530</v>
      </c>
      <c r="C227" s="534" t="s">
        <v>663</v>
      </c>
      <c r="D227" s="535">
        <v>5300</v>
      </c>
      <c r="E227" s="536" t="s">
        <v>128</v>
      </c>
      <c r="F227" s="536" t="s">
        <v>128</v>
      </c>
    </row>
    <row r="228" spans="1:6" s="537" customFormat="1" ht="12.75" customHeight="1">
      <c r="A228" s="532" t="s">
        <v>128</v>
      </c>
      <c r="B228" s="533">
        <v>6050</v>
      </c>
      <c r="C228" s="534" t="s">
        <v>203</v>
      </c>
      <c r="D228" s="535">
        <v>22640</v>
      </c>
      <c r="E228" s="536" t="s">
        <v>128</v>
      </c>
      <c r="F228" s="536" t="s">
        <v>128</v>
      </c>
    </row>
    <row r="229" spans="1:6" s="537" customFormat="1">
      <c r="A229" s="522">
        <v>710</v>
      </c>
      <c r="B229" s="523" t="s">
        <v>128</v>
      </c>
      <c r="C229" s="524" t="s">
        <v>28</v>
      </c>
      <c r="D229" s="525">
        <f>D230+D252+D257+D263</f>
        <v>6890168</v>
      </c>
      <c r="E229" s="536" t="s">
        <v>128</v>
      </c>
      <c r="F229" s="536" t="s">
        <v>128</v>
      </c>
    </row>
    <row r="230" spans="1:6" s="537" customFormat="1">
      <c r="A230" s="528">
        <v>71003</v>
      </c>
      <c r="B230" s="529" t="s">
        <v>128</v>
      </c>
      <c r="C230" s="530" t="s">
        <v>71</v>
      </c>
      <c r="D230" s="531">
        <f>SUM(D231:D251)</f>
        <v>6363168</v>
      </c>
      <c r="E230" s="536" t="s">
        <v>128</v>
      </c>
      <c r="F230" s="536" t="s">
        <v>128</v>
      </c>
    </row>
    <row r="231" spans="1:6" s="537" customFormat="1">
      <c r="A231" s="532" t="s">
        <v>128</v>
      </c>
      <c r="B231" s="533">
        <v>3020</v>
      </c>
      <c r="C231" s="534" t="s">
        <v>664</v>
      </c>
      <c r="D231" s="535">
        <v>5000</v>
      </c>
      <c r="E231" s="536" t="s">
        <v>128</v>
      </c>
      <c r="F231" s="536" t="s">
        <v>128</v>
      </c>
    </row>
    <row r="232" spans="1:6" s="537" customFormat="1">
      <c r="A232" s="532" t="s">
        <v>128</v>
      </c>
      <c r="B232" s="533">
        <v>4010</v>
      </c>
      <c r="C232" s="534" t="s">
        <v>188</v>
      </c>
      <c r="D232" s="535">
        <v>4311614</v>
      </c>
      <c r="E232" s="536" t="s">
        <v>128</v>
      </c>
      <c r="F232" s="536" t="s">
        <v>128</v>
      </c>
    </row>
    <row r="233" spans="1:6" s="537" customFormat="1">
      <c r="A233" s="532" t="s">
        <v>128</v>
      </c>
      <c r="B233" s="533">
        <v>4040</v>
      </c>
      <c r="C233" s="534" t="s">
        <v>189</v>
      </c>
      <c r="D233" s="535">
        <v>348925</v>
      </c>
      <c r="E233" s="536" t="s">
        <v>128</v>
      </c>
      <c r="F233" s="536" t="s">
        <v>128</v>
      </c>
    </row>
    <row r="234" spans="1:6" s="537" customFormat="1">
      <c r="A234" s="532" t="s">
        <v>128</v>
      </c>
      <c r="B234" s="533">
        <v>4110</v>
      </c>
      <c r="C234" s="534" t="s">
        <v>190</v>
      </c>
      <c r="D234" s="535">
        <v>776670</v>
      </c>
      <c r="E234" s="536" t="s">
        <v>128</v>
      </c>
      <c r="F234" s="536" t="s">
        <v>128</v>
      </c>
    </row>
    <row r="235" spans="1:6" s="537" customFormat="1">
      <c r="A235" s="532" t="s">
        <v>128</v>
      </c>
      <c r="B235" s="533">
        <v>4120</v>
      </c>
      <c r="C235" s="534" t="s">
        <v>191</v>
      </c>
      <c r="D235" s="535">
        <v>93311</v>
      </c>
      <c r="E235" s="536" t="s">
        <v>128</v>
      </c>
      <c r="F235" s="536" t="s">
        <v>128</v>
      </c>
    </row>
    <row r="236" spans="1:6" s="537" customFormat="1">
      <c r="A236" s="532" t="s">
        <v>128</v>
      </c>
      <c r="B236" s="533">
        <v>4140</v>
      </c>
      <c r="C236" s="534" t="s">
        <v>665</v>
      </c>
      <c r="D236" s="535">
        <v>120000</v>
      </c>
      <c r="E236" s="536" t="s">
        <v>128</v>
      </c>
      <c r="F236" s="536" t="s">
        <v>128</v>
      </c>
    </row>
    <row r="237" spans="1:6" s="537" customFormat="1">
      <c r="A237" s="532" t="s">
        <v>128</v>
      </c>
      <c r="B237" s="533">
        <v>4170</v>
      </c>
      <c r="C237" s="534" t="s">
        <v>192</v>
      </c>
      <c r="D237" s="535">
        <v>11000</v>
      </c>
      <c r="E237" s="536" t="s">
        <v>128</v>
      </c>
      <c r="F237" s="536" t="s">
        <v>128</v>
      </c>
    </row>
    <row r="238" spans="1:6" s="537" customFormat="1">
      <c r="A238" s="532" t="s">
        <v>128</v>
      </c>
      <c r="B238" s="533">
        <v>4210</v>
      </c>
      <c r="C238" s="534" t="s">
        <v>194</v>
      </c>
      <c r="D238" s="535">
        <v>110000</v>
      </c>
      <c r="E238" s="536" t="s">
        <v>128</v>
      </c>
      <c r="F238" s="536" t="s">
        <v>128</v>
      </c>
    </row>
    <row r="239" spans="1:6" s="537" customFormat="1">
      <c r="A239" s="532" t="s">
        <v>128</v>
      </c>
      <c r="B239" s="533">
        <v>4220</v>
      </c>
      <c r="C239" s="534" t="s">
        <v>195</v>
      </c>
      <c r="D239" s="535">
        <v>1000</v>
      </c>
      <c r="E239" s="536" t="s">
        <v>128</v>
      </c>
      <c r="F239" s="536" t="s">
        <v>128</v>
      </c>
    </row>
    <row r="240" spans="1:6" s="537" customFormat="1">
      <c r="A240" s="532" t="s">
        <v>128</v>
      </c>
      <c r="B240" s="533">
        <v>4260</v>
      </c>
      <c r="C240" s="534" t="s">
        <v>640</v>
      </c>
      <c r="D240" s="535">
        <v>140000</v>
      </c>
      <c r="E240" s="536" t="s">
        <v>128</v>
      </c>
      <c r="F240" s="536" t="s">
        <v>128</v>
      </c>
    </row>
    <row r="241" spans="1:6" s="537" customFormat="1">
      <c r="A241" s="532" t="s">
        <v>128</v>
      </c>
      <c r="B241" s="533">
        <v>4270</v>
      </c>
      <c r="C241" s="534" t="s">
        <v>196</v>
      </c>
      <c r="D241" s="535">
        <v>68000</v>
      </c>
      <c r="E241" s="536" t="s">
        <v>128</v>
      </c>
      <c r="F241" s="536" t="s">
        <v>128</v>
      </c>
    </row>
    <row r="242" spans="1:6" s="537" customFormat="1">
      <c r="A242" s="532" t="s">
        <v>128</v>
      </c>
      <c r="B242" s="533">
        <v>4280</v>
      </c>
      <c r="C242" s="534" t="s">
        <v>666</v>
      </c>
      <c r="D242" s="535">
        <v>4000</v>
      </c>
      <c r="E242" s="536" t="s">
        <v>128</v>
      </c>
      <c r="F242" s="536" t="s">
        <v>128</v>
      </c>
    </row>
    <row r="243" spans="1:6" s="537" customFormat="1">
      <c r="A243" s="532" t="s">
        <v>128</v>
      </c>
      <c r="B243" s="533">
        <v>4300</v>
      </c>
      <c r="C243" s="534" t="s">
        <v>197</v>
      </c>
      <c r="D243" s="535">
        <v>145000</v>
      </c>
      <c r="E243" s="536" t="s">
        <v>128</v>
      </c>
      <c r="F243" s="536" t="s">
        <v>128</v>
      </c>
    </row>
    <row r="244" spans="1:6" s="537" customFormat="1">
      <c r="A244" s="532" t="s">
        <v>128</v>
      </c>
      <c r="B244" s="533">
        <v>4360</v>
      </c>
      <c r="C244" s="534" t="s">
        <v>641</v>
      </c>
      <c r="D244" s="535">
        <v>41800</v>
      </c>
      <c r="E244" s="536" t="s">
        <v>128</v>
      </c>
      <c r="F244" s="536" t="s">
        <v>128</v>
      </c>
    </row>
    <row r="245" spans="1:6" s="537" customFormat="1">
      <c r="A245" s="532" t="s">
        <v>128</v>
      </c>
      <c r="B245" s="533">
        <v>4410</v>
      </c>
      <c r="C245" s="534" t="s">
        <v>198</v>
      </c>
      <c r="D245" s="535">
        <v>9000</v>
      </c>
      <c r="E245" s="536" t="s">
        <v>128</v>
      </c>
      <c r="F245" s="536" t="s">
        <v>128</v>
      </c>
    </row>
    <row r="246" spans="1:6" s="537" customFormat="1">
      <c r="A246" s="532" t="s">
        <v>128</v>
      </c>
      <c r="B246" s="533">
        <v>4430</v>
      </c>
      <c r="C246" s="534" t="s">
        <v>645</v>
      </c>
      <c r="D246" s="535">
        <v>10000</v>
      </c>
      <c r="E246" s="536" t="s">
        <v>128</v>
      </c>
      <c r="F246" s="536" t="s">
        <v>128</v>
      </c>
    </row>
    <row r="247" spans="1:6" s="537" customFormat="1">
      <c r="A247" s="532" t="s">
        <v>128</v>
      </c>
      <c r="B247" s="533">
        <v>4440</v>
      </c>
      <c r="C247" s="534" t="s">
        <v>667</v>
      </c>
      <c r="D247" s="535">
        <v>102418</v>
      </c>
      <c r="E247" s="536" t="s">
        <v>128</v>
      </c>
      <c r="F247" s="536" t="s">
        <v>128</v>
      </c>
    </row>
    <row r="248" spans="1:6" s="537" customFormat="1">
      <c r="A248" s="532" t="s">
        <v>128</v>
      </c>
      <c r="B248" s="533">
        <v>4480</v>
      </c>
      <c r="C248" s="534" t="s">
        <v>649</v>
      </c>
      <c r="D248" s="535">
        <v>6000</v>
      </c>
      <c r="E248" s="536" t="s">
        <v>128</v>
      </c>
      <c r="F248" s="536" t="s">
        <v>128</v>
      </c>
    </row>
    <row r="249" spans="1:6" s="537" customFormat="1">
      <c r="A249" s="532" t="s">
        <v>128</v>
      </c>
      <c r="B249" s="533">
        <v>4520</v>
      </c>
      <c r="C249" s="534" t="s">
        <v>656</v>
      </c>
      <c r="D249" s="535">
        <v>17180</v>
      </c>
      <c r="E249" s="536" t="s">
        <v>128</v>
      </c>
      <c r="F249" s="536" t="s">
        <v>128</v>
      </c>
    </row>
    <row r="250" spans="1:6" s="537" customFormat="1">
      <c r="A250" s="532" t="s">
        <v>128</v>
      </c>
      <c r="B250" s="533">
        <v>4700</v>
      </c>
      <c r="C250" s="534" t="s">
        <v>646</v>
      </c>
      <c r="D250" s="535">
        <v>10000</v>
      </c>
      <c r="E250" s="536" t="s">
        <v>128</v>
      </c>
      <c r="F250" s="536" t="s">
        <v>128</v>
      </c>
    </row>
    <row r="251" spans="1:6" s="537" customFormat="1">
      <c r="A251" s="532" t="s">
        <v>128</v>
      </c>
      <c r="B251" s="533">
        <v>4710</v>
      </c>
      <c r="C251" s="534" t="s">
        <v>204</v>
      </c>
      <c r="D251" s="535">
        <v>32250</v>
      </c>
      <c r="E251" s="536" t="s">
        <v>128</v>
      </c>
      <c r="F251" s="536" t="s">
        <v>128</v>
      </c>
    </row>
    <row r="252" spans="1:6" s="527" customFormat="1">
      <c r="A252" s="528">
        <v>71004</v>
      </c>
      <c r="B252" s="529" t="s">
        <v>128</v>
      </c>
      <c r="C252" s="530" t="s">
        <v>340</v>
      </c>
      <c r="D252" s="531">
        <f>SUM(D253:D256)</f>
        <v>20000</v>
      </c>
      <c r="E252" s="526" t="s">
        <v>128</v>
      </c>
      <c r="F252" s="526" t="s">
        <v>128</v>
      </c>
    </row>
    <row r="253" spans="1:6" s="537" customFormat="1">
      <c r="A253" s="532" t="s">
        <v>128</v>
      </c>
      <c r="B253" s="533">
        <v>4170</v>
      </c>
      <c r="C253" s="534" t="s">
        <v>192</v>
      </c>
      <c r="D253" s="535">
        <v>5000</v>
      </c>
      <c r="E253" s="536" t="s">
        <v>128</v>
      </c>
      <c r="F253" s="536" t="s">
        <v>128</v>
      </c>
    </row>
    <row r="254" spans="1:6" s="537" customFormat="1">
      <c r="A254" s="532" t="s">
        <v>128</v>
      </c>
      <c r="B254" s="533">
        <v>4210</v>
      </c>
      <c r="C254" s="534" t="s">
        <v>194</v>
      </c>
      <c r="D254" s="535">
        <v>1000</v>
      </c>
      <c r="E254" s="536" t="s">
        <v>128</v>
      </c>
      <c r="F254" s="536" t="s">
        <v>128</v>
      </c>
    </row>
    <row r="255" spans="1:6" s="537" customFormat="1">
      <c r="A255" s="532" t="s">
        <v>128</v>
      </c>
      <c r="B255" s="533">
        <v>4220</v>
      </c>
      <c r="C255" s="534" t="s">
        <v>195</v>
      </c>
      <c r="D255" s="535">
        <v>3000</v>
      </c>
      <c r="E255" s="536" t="s">
        <v>128</v>
      </c>
      <c r="F255" s="536" t="s">
        <v>128</v>
      </c>
    </row>
    <row r="256" spans="1:6" s="537" customFormat="1">
      <c r="A256" s="532" t="s">
        <v>128</v>
      </c>
      <c r="B256" s="533">
        <v>4300</v>
      </c>
      <c r="C256" s="534" t="s">
        <v>197</v>
      </c>
      <c r="D256" s="535">
        <v>11000</v>
      </c>
      <c r="E256" s="536" t="s">
        <v>128</v>
      </c>
      <c r="F256" s="536" t="s">
        <v>128</v>
      </c>
    </row>
    <row r="257" spans="1:6" s="527" customFormat="1">
      <c r="A257" s="528">
        <v>71005</v>
      </c>
      <c r="B257" s="529" t="s">
        <v>128</v>
      </c>
      <c r="C257" s="530" t="s">
        <v>50</v>
      </c>
      <c r="D257" s="531">
        <f>SUM(D258:D262)</f>
        <v>317000</v>
      </c>
      <c r="E257" s="526" t="s">
        <v>128</v>
      </c>
      <c r="F257" s="526" t="s">
        <v>128</v>
      </c>
    </row>
    <row r="258" spans="1:6" s="537" customFormat="1">
      <c r="A258" s="532" t="s">
        <v>128</v>
      </c>
      <c r="B258" s="533">
        <v>4010</v>
      </c>
      <c r="C258" s="534" t="s">
        <v>188</v>
      </c>
      <c r="D258" s="535">
        <v>233180</v>
      </c>
      <c r="E258" s="536" t="s">
        <v>128</v>
      </c>
      <c r="F258" s="536" t="s">
        <v>128</v>
      </c>
    </row>
    <row r="259" spans="1:6" s="537" customFormat="1">
      <c r="A259" s="532" t="s">
        <v>128</v>
      </c>
      <c r="B259" s="533">
        <v>4040</v>
      </c>
      <c r="C259" s="534" t="s">
        <v>189</v>
      </c>
      <c r="D259" s="535">
        <v>28500</v>
      </c>
      <c r="E259" s="536" t="s">
        <v>128</v>
      </c>
      <c r="F259" s="536" t="s">
        <v>128</v>
      </c>
    </row>
    <row r="260" spans="1:6" s="537" customFormat="1">
      <c r="A260" s="532" t="s">
        <v>128</v>
      </c>
      <c r="B260" s="533">
        <v>4110</v>
      </c>
      <c r="C260" s="534" t="s">
        <v>190</v>
      </c>
      <c r="D260" s="535">
        <v>44983</v>
      </c>
      <c r="E260" s="536" t="s">
        <v>128</v>
      </c>
      <c r="F260" s="536" t="s">
        <v>128</v>
      </c>
    </row>
    <row r="261" spans="1:6" s="537" customFormat="1" ht="12.75" customHeight="1">
      <c r="A261" s="532" t="s">
        <v>128</v>
      </c>
      <c r="B261" s="533">
        <v>4120</v>
      </c>
      <c r="C261" s="534" t="s">
        <v>191</v>
      </c>
      <c r="D261" s="535">
        <v>6412</v>
      </c>
      <c r="E261" s="536" t="s">
        <v>128</v>
      </c>
      <c r="F261" s="536" t="s">
        <v>128</v>
      </c>
    </row>
    <row r="262" spans="1:6" s="537" customFormat="1">
      <c r="A262" s="542" t="s">
        <v>128</v>
      </c>
      <c r="B262" s="543">
        <v>4710</v>
      </c>
      <c r="C262" s="544" t="s">
        <v>204</v>
      </c>
      <c r="D262" s="545">
        <v>3925</v>
      </c>
      <c r="E262" s="536" t="s">
        <v>128</v>
      </c>
      <c r="F262" s="536" t="s">
        <v>128</v>
      </c>
    </row>
    <row r="263" spans="1:6" s="527" customFormat="1">
      <c r="A263" s="550">
        <v>71012</v>
      </c>
      <c r="B263" s="551" t="s">
        <v>128</v>
      </c>
      <c r="C263" s="552" t="s">
        <v>51</v>
      </c>
      <c r="D263" s="553">
        <f>SUM(D264:D268)</f>
        <v>190000</v>
      </c>
      <c r="E263" s="526" t="s">
        <v>128</v>
      </c>
      <c r="F263" s="526" t="s">
        <v>128</v>
      </c>
    </row>
    <row r="264" spans="1:6" s="537" customFormat="1">
      <c r="A264" s="532" t="s">
        <v>128</v>
      </c>
      <c r="B264" s="533">
        <v>4210</v>
      </c>
      <c r="C264" s="534" t="s">
        <v>194</v>
      </c>
      <c r="D264" s="535">
        <v>31000</v>
      </c>
      <c r="E264" s="536" t="s">
        <v>128</v>
      </c>
      <c r="F264" s="536" t="s">
        <v>128</v>
      </c>
    </row>
    <row r="265" spans="1:6" s="537" customFormat="1">
      <c r="A265" s="532" t="s">
        <v>128</v>
      </c>
      <c r="B265" s="533">
        <v>4270</v>
      </c>
      <c r="C265" s="534" t="s">
        <v>196</v>
      </c>
      <c r="D265" s="535">
        <v>2000</v>
      </c>
      <c r="E265" s="536" t="s">
        <v>128</v>
      </c>
      <c r="F265" s="536" t="s">
        <v>128</v>
      </c>
    </row>
    <row r="266" spans="1:6" s="537" customFormat="1">
      <c r="A266" s="532" t="s">
        <v>128</v>
      </c>
      <c r="B266" s="533">
        <v>4300</v>
      </c>
      <c r="C266" s="534" t="s">
        <v>197</v>
      </c>
      <c r="D266" s="535">
        <v>152000</v>
      </c>
      <c r="E266" s="536" t="s">
        <v>128</v>
      </c>
      <c r="F266" s="536" t="s">
        <v>128</v>
      </c>
    </row>
    <row r="267" spans="1:6" s="537" customFormat="1">
      <c r="A267" s="532" t="s">
        <v>128</v>
      </c>
      <c r="B267" s="533">
        <v>4410</v>
      </c>
      <c r="C267" s="534" t="s">
        <v>198</v>
      </c>
      <c r="D267" s="535">
        <v>1000</v>
      </c>
      <c r="E267" s="536" t="s">
        <v>128</v>
      </c>
      <c r="F267" s="536" t="s">
        <v>128</v>
      </c>
    </row>
    <row r="268" spans="1:6" s="537" customFormat="1" ht="12.75" customHeight="1">
      <c r="A268" s="532" t="s">
        <v>128</v>
      </c>
      <c r="B268" s="533">
        <v>4700</v>
      </c>
      <c r="C268" s="534" t="s">
        <v>646</v>
      </c>
      <c r="D268" s="535">
        <v>4000</v>
      </c>
      <c r="E268" s="536" t="s">
        <v>128</v>
      </c>
      <c r="F268" s="536" t="s">
        <v>128</v>
      </c>
    </row>
    <row r="269" spans="1:6" s="527" customFormat="1">
      <c r="A269" s="522">
        <v>720</v>
      </c>
      <c r="B269" s="523" t="s">
        <v>128</v>
      </c>
      <c r="C269" s="524" t="s">
        <v>343</v>
      </c>
      <c r="D269" s="525">
        <f>D270</f>
        <v>23371323</v>
      </c>
      <c r="E269" s="526" t="s">
        <v>128</v>
      </c>
      <c r="F269" s="526" t="s">
        <v>128</v>
      </c>
    </row>
    <row r="270" spans="1:6" s="527" customFormat="1">
      <c r="A270" s="528">
        <v>72095</v>
      </c>
      <c r="B270" s="529" t="s">
        <v>128</v>
      </c>
      <c r="C270" s="530" t="s">
        <v>46</v>
      </c>
      <c r="D270" s="531">
        <f>SUM(D271:D280)</f>
        <v>23371323</v>
      </c>
      <c r="E270" s="526" t="s">
        <v>128</v>
      </c>
      <c r="F270" s="526" t="s">
        <v>128</v>
      </c>
    </row>
    <row r="271" spans="1:6" s="537" customFormat="1">
      <c r="A271" s="532" t="s">
        <v>128</v>
      </c>
      <c r="B271" s="533">
        <v>4300</v>
      </c>
      <c r="C271" s="534" t="s">
        <v>197</v>
      </c>
      <c r="D271" s="535">
        <v>500000</v>
      </c>
      <c r="E271" s="536" t="s">
        <v>128</v>
      </c>
      <c r="F271" s="536" t="s">
        <v>128</v>
      </c>
    </row>
    <row r="272" spans="1:6" s="537" customFormat="1">
      <c r="A272" s="532" t="s">
        <v>128</v>
      </c>
      <c r="B272" s="533">
        <v>4307</v>
      </c>
      <c r="C272" s="534" t="s">
        <v>197</v>
      </c>
      <c r="D272" s="535">
        <v>562941</v>
      </c>
      <c r="E272" s="536" t="s">
        <v>128</v>
      </c>
      <c r="F272" s="536" t="s">
        <v>128</v>
      </c>
    </row>
    <row r="273" spans="1:6" s="537" customFormat="1">
      <c r="A273" s="532" t="s">
        <v>128</v>
      </c>
      <c r="B273" s="533">
        <v>4309</v>
      </c>
      <c r="C273" s="534" t="s">
        <v>197</v>
      </c>
      <c r="D273" s="535">
        <v>99344</v>
      </c>
      <c r="E273" s="536" t="s">
        <v>128</v>
      </c>
      <c r="F273" s="536" t="s">
        <v>128</v>
      </c>
    </row>
    <row r="274" spans="1:6" s="537" customFormat="1">
      <c r="A274" s="532" t="s">
        <v>128</v>
      </c>
      <c r="B274" s="533">
        <v>6057</v>
      </c>
      <c r="C274" s="534" t="s">
        <v>203</v>
      </c>
      <c r="D274" s="535">
        <v>8638296</v>
      </c>
      <c r="E274" s="536" t="s">
        <v>128</v>
      </c>
      <c r="F274" s="536" t="s">
        <v>128</v>
      </c>
    </row>
    <row r="275" spans="1:6" s="537" customFormat="1">
      <c r="A275" s="532" t="s">
        <v>128</v>
      </c>
      <c r="B275" s="533">
        <v>6059</v>
      </c>
      <c r="C275" s="534" t="s">
        <v>203</v>
      </c>
      <c r="D275" s="535">
        <v>1524405</v>
      </c>
      <c r="E275" s="536" t="s">
        <v>128</v>
      </c>
      <c r="F275" s="536" t="s">
        <v>128</v>
      </c>
    </row>
    <row r="276" spans="1:6" s="537" customFormat="1">
      <c r="A276" s="532" t="s">
        <v>128</v>
      </c>
      <c r="B276" s="533">
        <v>6067</v>
      </c>
      <c r="C276" s="534" t="s">
        <v>263</v>
      </c>
      <c r="D276" s="535">
        <v>5495250</v>
      </c>
      <c r="E276" s="536" t="s">
        <v>128</v>
      </c>
      <c r="F276" s="536" t="s">
        <v>128</v>
      </c>
    </row>
    <row r="277" spans="1:6" s="537" customFormat="1">
      <c r="A277" s="532" t="s">
        <v>128</v>
      </c>
      <c r="B277" s="533">
        <v>6069</v>
      </c>
      <c r="C277" s="534" t="s">
        <v>263</v>
      </c>
      <c r="D277" s="535">
        <v>969750</v>
      </c>
      <c r="E277" s="536" t="s">
        <v>128</v>
      </c>
      <c r="F277" s="536" t="s">
        <v>128</v>
      </c>
    </row>
    <row r="278" spans="1:6" s="507" customFormat="1" ht="53.25" customHeight="1">
      <c r="A278" s="502" t="s">
        <v>128</v>
      </c>
      <c r="B278" s="503">
        <v>6207</v>
      </c>
      <c r="C278" s="504" t="s">
        <v>668</v>
      </c>
      <c r="D278" s="505">
        <v>2089698</v>
      </c>
      <c r="E278" s="506" t="s">
        <v>128</v>
      </c>
      <c r="F278" s="506" t="s">
        <v>128</v>
      </c>
    </row>
    <row r="279" spans="1:6" s="507" customFormat="1" ht="28.5" customHeight="1">
      <c r="A279" s="502" t="s">
        <v>128</v>
      </c>
      <c r="B279" s="503">
        <v>6220</v>
      </c>
      <c r="C279" s="504" t="s">
        <v>260</v>
      </c>
      <c r="D279" s="505">
        <v>108639</v>
      </c>
      <c r="E279" s="506" t="s">
        <v>128</v>
      </c>
      <c r="F279" s="506" t="s">
        <v>128</v>
      </c>
    </row>
    <row r="280" spans="1:6" s="507" customFormat="1" ht="42.75" customHeight="1">
      <c r="A280" s="502" t="s">
        <v>128</v>
      </c>
      <c r="B280" s="503">
        <v>6257</v>
      </c>
      <c r="C280" s="504" t="s">
        <v>131</v>
      </c>
      <c r="D280" s="505">
        <v>3383000</v>
      </c>
      <c r="E280" s="506" t="s">
        <v>128</v>
      </c>
      <c r="F280" s="506" t="s">
        <v>128</v>
      </c>
    </row>
    <row r="281" spans="1:6" s="527" customFormat="1" ht="15" customHeight="1">
      <c r="A281" s="522">
        <v>730</v>
      </c>
      <c r="B281" s="523" t="s">
        <v>128</v>
      </c>
      <c r="C281" s="524" t="s">
        <v>346</v>
      </c>
      <c r="D281" s="525">
        <f>D282</f>
        <v>300000</v>
      </c>
      <c r="E281" s="526" t="s">
        <v>128</v>
      </c>
      <c r="F281" s="526" t="s">
        <v>128</v>
      </c>
    </row>
    <row r="282" spans="1:6" s="527" customFormat="1" ht="15" customHeight="1">
      <c r="A282" s="528">
        <v>73014</v>
      </c>
      <c r="B282" s="529" t="s">
        <v>128</v>
      </c>
      <c r="C282" s="530" t="s">
        <v>348</v>
      </c>
      <c r="D282" s="531">
        <f>D283</f>
        <v>300000</v>
      </c>
      <c r="E282" s="526" t="s">
        <v>128</v>
      </c>
      <c r="F282" s="526" t="s">
        <v>128</v>
      </c>
    </row>
    <row r="283" spans="1:6" s="507" customFormat="1" ht="28.5" customHeight="1">
      <c r="A283" s="502" t="s">
        <v>128</v>
      </c>
      <c r="B283" s="503">
        <v>2800</v>
      </c>
      <c r="C283" s="504" t="s">
        <v>202</v>
      </c>
      <c r="D283" s="505">
        <v>300000</v>
      </c>
      <c r="E283" s="506" t="s">
        <v>128</v>
      </c>
      <c r="F283" s="506" t="s">
        <v>128</v>
      </c>
    </row>
    <row r="284" spans="1:6" s="527" customFormat="1">
      <c r="A284" s="522">
        <v>750</v>
      </c>
      <c r="B284" s="523" t="s">
        <v>128</v>
      </c>
      <c r="C284" s="524" t="s">
        <v>30</v>
      </c>
      <c r="D284" s="525">
        <f>+D300+D383+D396+D409+D420+D285</f>
        <v>211966948</v>
      </c>
      <c r="E284" s="526" t="s">
        <v>128</v>
      </c>
      <c r="F284" s="526" t="s">
        <v>128</v>
      </c>
    </row>
    <row r="285" spans="1:6" s="527" customFormat="1" ht="14.25" customHeight="1">
      <c r="A285" s="528">
        <v>75017</v>
      </c>
      <c r="B285" s="529" t="s">
        <v>128</v>
      </c>
      <c r="C285" s="530" t="s">
        <v>350</v>
      </c>
      <c r="D285" s="531">
        <f>SUM(D286:D299)</f>
        <v>2300000</v>
      </c>
      <c r="E285" s="526" t="s">
        <v>128</v>
      </c>
      <c r="F285" s="526" t="s">
        <v>128</v>
      </c>
    </row>
    <row r="286" spans="1:6" s="537" customFormat="1">
      <c r="A286" s="532" t="s">
        <v>128</v>
      </c>
      <c r="B286" s="533">
        <v>3030</v>
      </c>
      <c r="C286" s="534" t="s">
        <v>669</v>
      </c>
      <c r="D286" s="535">
        <v>1540000</v>
      </c>
      <c r="E286" s="536" t="s">
        <v>128</v>
      </c>
      <c r="F286" s="536" t="s">
        <v>128</v>
      </c>
    </row>
    <row r="287" spans="1:6" s="537" customFormat="1">
      <c r="A287" s="532" t="s">
        <v>128</v>
      </c>
      <c r="B287" s="533">
        <v>4110</v>
      </c>
      <c r="C287" s="534" t="s">
        <v>190</v>
      </c>
      <c r="D287" s="535">
        <v>4000</v>
      </c>
      <c r="E287" s="536" t="s">
        <v>128</v>
      </c>
      <c r="F287" s="536" t="s">
        <v>128</v>
      </c>
    </row>
    <row r="288" spans="1:6" s="537" customFormat="1">
      <c r="A288" s="532" t="s">
        <v>128</v>
      </c>
      <c r="B288" s="533">
        <v>4120</v>
      </c>
      <c r="C288" s="534" t="s">
        <v>191</v>
      </c>
      <c r="D288" s="535">
        <v>500</v>
      </c>
      <c r="E288" s="536" t="s">
        <v>128</v>
      </c>
      <c r="F288" s="536" t="s">
        <v>128</v>
      </c>
    </row>
    <row r="289" spans="1:6" s="537" customFormat="1">
      <c r="A289" s="532" t="s">
        <v>128</v>
      </c>
      <c r="B289" s="533">
        <v>4170</v>
      </c>
      <c r="C289" s="534" t="s">
        <v>192</v>
      </c>
      <c r="D289" s="535">
        <v>70000</v>
      </c>
      <c r="E289" s="536" t="s">
        <v>128</v>
      </c>
      <c r="F289" s="536" t="s">
        <v>128</v>
      </c>
    </row>
    <row r="290" spans="1:6" s="537" customFormat="1">
      <c r="A290" s="532" t="s">
        <v>128</v>
      </c>
      <c r="B290" s="533">
        <v>4190</v>
      </c>
      <c r="C290" s="534" t="s">
        <v>193</v>
      </c>
      <c r="D290" s="535">
        <v>23000</v>
      </c>
      <c r="E290" s="536" t="s">
        <v>128</v>
      </c>
      <c r="F290" s="536" t="s">
        <v>128</v>
      </c>
    </row>
    <row r="291" spans="1:6" s="537" customFormat="1">
      <c r="A291" s="532" t="s">
        <v>128</v>
      </c>
      <c r="B291" s="533">
        <v>4210</v>
      </c>
      <c r="C291" s="534" t="s">
        <v>194</v>
      </c>
      <c r="D291" s="535">
        <v>80000</v>
      </c>
      <c r="E291" s="536" t="s">
        <v>128</v>
      </c>
      <c r="F291" s="536" t="s">
        <v>128</v>
      </c>
    </row>
    <row r="292" spans="1:6" s="537" customFormat="1">
      <c r="A292" s="532" t="s">
        <v>128</v>
      </c>
      <c r="B292" s="533">
        <v>4220</v>
      </c>
      <c r="C292" s="534" t="s">
        <v>195</v>
      </c>
      <c r="D292" s="535">
        <v>35000</v>
      </c>
      <c r="E292" s="536" t="s">
        <v>128</v>
      </c>
      <c r="F292" s="536" t="s">
        <v>128</v>
      </c>
    </row>
    <row r="293" spans="1:6" s="537" customFormat="1">
      <c r="A293" s="532" t="s">
        <v>128</v>
      </c>
      <c r="B293" s="533">
        <v>4270</v>
      </c>
      <c r="C293" s="534" t="s">
        <v>196</v>
      </c>
      <c r="D293" s="535">
        <v>3000</v>
      </c>
      <c r="E293" s="536" t="s">
        <v>128</v>
      </c>
      <c r="F293" s="536" t="s">
        <v>128</v>
      </c>
    </row>
    <row r="294" spans="1:6" s="537" customFormat="1">
      <c r="A294" s="532" t="s">
        <v>128</v>
      </c>
      <c r="B294" s="533">
        <v>4300</v>
      </c>
      <c r="C294" s="534" t="s">
        <v>197</v>
      </c>
      <c r="D294" s="535">
        <v>500000</v>
      </c>
      <c r="E294" s="536" t="s">
        <v>128</v>
      </c>
      <c r="F294" s="536" t="s">
        <v>128</v>
      </c>
    </row>
    <row r="295" spans="1:6" s="537" customFormat="1">
      <c r="A295" s="532" t="s">
        <v>128</v>
      </c>
      <c r="B295" s="533">
        <v>4360</v>
      </c>
      <c r="C295" s="534" t="s">
        <v>641</v>
      </c>
      <c r="D295" s="535">
        <v>10000</v>
      </c>
      <c r="E295" s="536" t="s">
        <v>128</v>
      </c>
      <c r="F295" s="536" t="s">
        <v>128</v>
      </c>
    </row>
    <row r="296" spans="1:6" s="537" customFormat="1">
      <c r="A296" s="532" t="s">
        <v>128</v>
      </c>
      <c r="B296" s="533">
        <v>4380</v>
      </c>
      <c r="C296" s="534" t="s">
        <v>642</v>
      </c>
      <c r="D296" s="535">
        <v>2000</v>
      </c>
      <c r="E296" s="536" t="s">
        <v>128</v>
      </c>
      <c r="F296" s="536" t="s">
        <v>128</v>
      </c>
    </row>
    <row r="297" spans="1:6" s="537" customFormat="1">
      <c r="A297" s="532" t="s">
        <v>128</v>
      </c>
      <c r="B297" s="533">
        <v>4410</v>
      </c>
      <c r="C297" s="534" t="s">
        <v>198</v>
      </c>
      <c r="D297" s="535">
        <v>20000</v>
      </c>
      <c r="E297" s="536" t="s">
        <v>128</v>
      </c>
      <c r="F297" s="536" t="s">
        <v>128</v>
      </c>
    </row>
    <row r="298" spans="1:6" s="537" customFormat="1">
      <c r="A298" s="532" t="s">
        <v>128</v>
      </c>
      <c r="B298" s="533">
        <v>4420</v>
      </c>
      <c r="C298" s="534" t="s">
        <v>644</v>
      </c>
      <c r="D298" s="535">
        <v>10000</v>
      </c>
      <c r="E298" s="536" t="s">
        <v>128</v>
      </c>
      <c r="F298" s="536" t="s">
        <v>128</v>
      </c>
    </row>
    <row r="299" spans="1:6" s="537" customFormat="1">
      <c r="A299" s="532" t="s">
        <v>128</v>
      </c>
      <c r="B299" s="533">
        <v>4430</v>
      </c>
      <c r="C299" s="534" t="s">
        <v>645</v>
      </c>
      <c r="D299" s="535">
        <v>2500</v>
      </c>
      <c r="E299" s="536" t="s">
        <v>128</v>
      </c>
      <c r="F299" s="536" t="s">
        <v>128</v>
      </c>
    </row>
    <row r="300" spans="1:6" s="527" customFormat="1">
      <c r="A300" s="528">
        <v>75018</v>
      </c>
      <c r="B300" s="529" t="s">
        <v>128</v>
      </c>
      <c r="C300" s="530" t="s">
        <v>73</v>
      </c>
      <c r="D300" s="531">
        <f>SUM(D301:D382)</f>
        <v>171508579</v>
      </c>
      <c r="E300" s="526" t="s">
        <v>128</v>
      </c>
      <c r="F300" s="526" t="s">
        <v>128</v>
      </c>
    </row>
    <row r="301" spans="1:6" s="537" customFormat="1">
      <c r="A301" s="532" t="s">
        <v>128</v>
      </c>
      <c r="B301" s="533">
        <v>3020</v>
      </c>
      <c r="C301" s="534" t="s">
        <v>664</v>
      </c>
      <c r="D301" s="535">
        <v>191800</v>
      </c>
      <c r="E301" s="536" t="s">
        <v>128</v>
      </c>
      <c r="F301" s="536" t="s">
        <v>128</v>
      </c>
    </row>
    <row r="302" spans="1:6" s="537" customFormat="1">
      <c r="A302" s="532" t="s">
        <v>128</v>
      </c>
      <c r="B302" s="533">
        <v>3028</v>
      </c>
      <c r="C302" s="534" t="s">
        <v>664</v>
      </c>
      <c r="D302" s="535">
        <v>22950</v>
      </c>
      <c r="E302" s="536" t="s">
        <v>128</v>
      </c>
      <c r="F302" s="536" t="s">
        <v>128</v>
      </c>
    </row>
    <row r="303" spans="1:6" s="537" customFormat="1">
      <c r="A303" s="532" t="s">
        <v>128</v>
      </c>
      <c r="B303" s="533">
        <v>3029</v>
      </c>
      <c r="C303" s="534" t="s">
        <v>664</v>
      </c>
      <c r="D303" s="535">
        <v>4050</v>
      </c>
      <c r="E303" s="536" t="s">
        <v>128</v>
      </c>
      <c r="F303" s="536" t="s">
        <v>128</v>
      </c>
    </row>
    <row r="304" spans="1:6" s="537" customFormat="1">
      <c r="A304" s="532" t="s">
        <v>128</v>
      </c>
      <c r="B304" s="533">
        <v>3038</v>
      </c>
      <c r="C304" s="534" t="s">
        <v>669</v>
      </c>
      <c r="D304" s="535">
        <v>43350</v>
      </c>
      <c r="E304" s="536" t="s">
        <v>128</v>
      </c>
      <c r="F304" s="536" t="s">
        <v>128</v>
      </c>
    </row>
    <row r="305" spans="1:6" s="537" customFormat="1">
      <c r="A305" s="532" t="s">
        <v>128</v>
      </c>
      <c r="B305" s="533">
        <v>3039</v>
      </c>
      <c r="C305" s="534" t="s">
        <v>669</v>
      </c>
      <c r="D305" s="535">
        <v>7650</v>
      </c>
      <c r="E305" s="536" t="s">
        <v>128</v>
      </c>
      <c r="F305" s="536" t="s">
        <v>128</v>
      </c>
    </row>
    <row r="306" spans="1:6" s="537" customFormat="1">
      <c r="A306" s="532" t="s">
        <v>128</v>
      </c>
      <c r="B306" s="533">
        <v>4010</v>
      </c>
      <c r="C306" s="534" t="s">
        <v>188</v>
      </c>
      <c r="D306" s="535">
        <v>58888933</v>
      </c>
      <c r="E306" s="536" t="s">
        <v>128</v>
      </c>
      <c r="F306" s="536" t="s">
        <v>128</v>
      </c>
    </row>
    <row r="307" spans="1:6" s="537" customFormat="1">
      <c r="A307" s="532" t="s">
        <v>128</v>
      </c>
      <c r="B307" s="533">
        <v>4018</v>
      </c>
      <c r="C307" s="534" t="s">
        <v>188</v>
      </c>
      <c r="D307" s="535">
        <v>33150000</v>
      </c>
      <c r="E307" s="536" t="s">
        <v>128</v>
      </c>
      <c r="F307" s="536" t="s">
        <v>128</v>
      </c>
    </row>
    <row r="308" spans="1:6" s="537" customFormat="1">
      <c r="A308" s="532" t="s">
        <v>128</v>
      </c>
      <c r="B308" s="533">
        <v>4019</v>
      </c>
      <c r="C308" s="534" t="s">
        <v>188</v>
      </c>
      <c r="D308" s="535">
        <v>5850000</v>
      </c>
      <c r="E308" s="536" t="s">
        <v>128</v>
      </c>
      <c r="F308" s="536" t="s">
        <v>128</v>
      </c>
    </row>
    <row r="309" spans="1:6" s="537" customFormat="1">
      <c r="A309" s="532" t="s">
        <v>128</v>
      </c>
      <c r="B309" s="533">
        <v>4040</v>
      </c>
      <c r="C309" s="534" t="s">
        <v>189</v>
      </c>
      <c r="D309" s="535">
        <v>4906924</v>
      </c>
      <c r="E309" s="536" t="s">
        <v>128</v>
      </c>
      <c r="F309" s="536" t="s">
        <v>128</v>
      </c>
    </row>
    <row r="310" spans="1:6" s="537" customFormat="1">
      <c r="A310" s="532" t="s">
        <v>128</v>
      </c>
      <c r="B310" s="533">
        <v>4048</v>
      </c>
      <c r="C310" s="534" t="s">
        <v>189</v>
      </c>
      <c r="D310" s="535">
        <v>2550000</v>
      </c>
      <c r="E310" s="536" t="s">
        <v>128</v>
      </c>
      <c r="F310" s="536" t="s">
        <v>128</v>
      </c>
    </row>
    <row r="311" spans="1:6" s="537" customFormat="1">
      <c r="A311" s="532" t="s">
        <v>128</v>
      </c>
      <c r="B311" s="533">
        <v>4049</v>
      </c>
      <c r="C311" s="534" t="s">
        <v>189</v>
      </c>
      <c r="D311" s="535">
        <v>450000</v>
      </c>
      <c r="E311" s="536" t="s">
        <v>128</v>
      </c>
      <c r="F311" s="536" t="s">
        <v>128</v>
      </c>
    </row>
    <row r="312" spans="1:6" s="537" customFormat="1">
      <c r="A312" s="532" t="s">
        <v>128</v>
      </c>
      <c r="B312" s="533">
        <v>4110</v>
      </c>
      <c r="C312" s="534" t="s">
        <v>190</v>
      </c>
      <c r="D312" s="535">
        <v>11398727</v>
      </c>
      <c r="E312" s="536" t="s">
        <v>128</v>
      </c>
      <c r="F312" s="536" t="s">
        <v>128</v>
      </c>
    </row>
    <row r="313" spans="1:6" s="537" customFormat="1">
      <c r="A313" s="532" t="s">
        <v>128</v>
      </c>
      <c r="B313" s="533">
        <v>4118</v>
      </c>
      <c r="C313" s="534" t="s">
        <v>190</v>
      </c>
      <c r="D313" s="535">
        <v>5951700</v>
      </c>
      <c r="E313" s="536" t="s">
        <v>128</v>
      </c>
      <c r="F313" s="536" t="s">
        <v>128</v>
      </c>
    </row>
    <row r="314" spans="1:6" s="537" customFormat="1">
      <c r="A314" s="532" t="s">
        <v>128</v>
      </c>
      <c r="B314" s="533">
        <v>4119</v>
      </c>
      <c r="C314" s="534" t="s">
        <v>190</v>
      </c>
      <c r="D314" s="535">
        <v>1050300</v>
      </c>
      <c r="E314" s="536" t="s">
        <v>128</v>
      </c>
      <c r="F314" s="536" t="s">
        <v>128</v>
      </c>
    </row>
    <row r="315" spans="1:6" s="537" customFormat="1">
      <c r="A315" s="532" t="s">
        <v>128</v>
      </c>
      <c r="B315" s="533">
        <v>4120</v>
      </c>
      <c r="C315" s="534" t="s">
        <v>191</v>
      </c>
      <c r="D315" s="535">
        <v>1331452</v>
      </c>
      <c r="E315" s="536" t="s">
        <v>128</v>
      </c>
      <c r="F315" s="536" t="s">
        <v>128</v>
      </c>
    </row>
    <row r="316" spans="1:6" s="537" customFormat="1">
      <c r="A316" s="532" t="s">
        <v>128</v>
      </c>
      <c r="B316" s="533">
        <v>4128</v>
      </c>
      <c r="C316" s="534" t="s">
        <v>191</v>
      </c>
      <c r="D316" s="535">
        <v>637755</v>
      </c>
      <c r="E316" s="536" t="s">
        <v>128</v>
      </c>
      <c r="F316" s="536" t="s">
        <v>128</v>
      </c>
    </row>
    <row r="317" spans="1:6" s="537" customFormat="1">
      <c r="A317" s="532" t="s">
        <v>128</v>
      </c>
      <c r="B317" s="533">
        <v>4129</v>
      </c>
      <c r="C317" s="534" t="s">
        <v>191</v>
      </c>
      <c r="D317" s="535">
        <v>112545</v>
      </c>
      <c r="E317" s="536" t="s">
        <v>128</v>
      </c>
      <c r="F317" s="536" t="s">
        <v>128</v>
      </c>
    </row>
    <row r="318" spans="1:6" s="537" customFormat="1">
      <c r="A318" s="532" t="s">
        <v>128</v>
      </c>
      <c r="B318" s="533">
        <v>4140</v>
      </c>
      <c r="C318" s="534" t="s">
        <v>665</v>
      </c>
      <c r="D318" s="535">
        <v>396462</v>
      </c>
      <c r="E318" s="536" t="s">
        <v>128</v>
      </c>
      <c r="F318" s="536" t="s">
        <v>128</v>
      </c>
    </row>
    <row r="319" spans="1:6" s="537" customFormat="1">
      <c r="A319" s="532" t="s">
        <v>128</v>
      </c>
      <c r="B319" s="533">
        <v>4170</v>
      </c>
      <c r="C319" s="534" t="s">
        <v>192</v>
      </c>
      <c r="D319" s="535">
        <v>450000</v>
      </c>
      <c r="E319" s="536" t="s">
        <v>128</v>
      </c>
      <c r="F319" s="536" t="s">
        <v>128</v>
      </c>
    </row>
    <row r="320" spans="1:6" s="537" customFormat="1">
      <c r="A320" s="532" t="s">
        <v>128</v>
      </c>
      <c r="B320" s="533">
        <v>4178</v>
      </c>
      <c r="C320" s="534" t="s">
        <v>192</v>
      </c>
      <c r="D320" s="535">
        <v>367795</v>
      </c>
      <c r="E320" s="536" t="s">
        <v>128</v>
      </c>
      <c r="F320" s="536" t="s">
        <v>128</v>
      </c>
    </row>
    <row r="321" spans="1:6" s="537" customFormat="1">
      <c r="A321" s="532" t="s">
        <v>128</v>
      </c>
      <c r="B321" s="533">
        <v>4179</v>
      </c>
      <c r="C321" s="534" t="s">
        <v>192</v>
      </c>
      <c r="D321" s="535">
        <v>64905</v>
      </c>
      <c r="E321" s="536" t="s">
        <v>128</v>
      </c>
      <c r="F321" s="536" t="s">
        <v>128</v>
      </c>
    </row>
    <row r="322" spans="1:6" s="537" customFormat="1">
      <c r="A322" s="532" t="s">
        <v>128</v>
      </c>
      <c r="B322" s="533">
        <v>4198</v>
      </c>
      <c r="C322" s="534" t="s">
        <v>193</v>
      </c>
      <c r="D322" s="535">
        <v>72250</v>
      </c>
      <c r="E322" s="536" t="s">
        <v>128</v>
      </c>
      <c r="F322" s="536" t="s">
        <v>128</v>
      </c>
    </row>
    <row r="323" spans="1:6" s="537" customFormat="1">
      <c r="A323" s="532" t="s">
        <v>128</v>
      </c>
      <c r="B323" s="533">
        <v>4199</v>
      </c>
      <c r="C323" s="534" t="s">
        <v>193</v>
      </c>
      <c r="D323" s="535">
        <v>12750</v>
      </c>
      <c r="E323" s="536" t="s">
        <v>128</v>
      </c>
      <c r="F323" s="536" t="s">
        <v>128</v>
      </c>
    </row>
    <row r="324" spans="1:6" s="537" customFormat="1">
      <c r="A324" s="532" t="s">
        <v>128</v>
      </c>
      <c r="B324" s="533">
        <v>4210</v>
      </c>
      <c r="C324" s="534" t="s">
        <v>194</v>
      </c>
      <c r="D324" s="535">
        <v>3805500</v>
      </c>
      <c r="E324" s="536" t="s">
        <v>128</v>
      </c>
      <c r="F324" s="536" t="s">
        <v>128</v>
      </c>
    </row>
    <row r="325" spans="1:6" s="537" customFormat="1">
      <c r="A325" s="532" t="s">
        <v>128</v>
      </c>
      <c r="B325" s="533">
        <v>4218</v>
      </c>
      <c r="C325" s="534" t="s">
        <v>194</v>
      </c>
      <c r="D325" s="535">
        <v>658045</v>
      </c>
      <c r="E325" s="536" t="s">
        <v>128</v>
      </c>
      <c r="F325" s="536" t="s">
        <v>128</v>
      </c>
    </row>
    <row r="326" spans="1:6" s="537" customFormat="1">
      <c r="A326" s="532" t="s">
        <v>128</v>
      </c>
      <c r="B326" s="533">
        <v>4219</v>
      </c>
      <c r="C326" s="534" t="s">
        <v>194</v>
      </c>
      <c r="D326" s="535">
        <v>116125</v>
      </c>
      <c r="E326" s="536" t="s">
        <v>128</v>
      </c>
      <c r="F326" s="536" t="s">
        <v>128</v>
      </c>
    </row>
    <row r="327" spans="1:6" s="537" customFormat="1">
      <c r="A327" s="532" t="s">
        <v>128</v>
      </c>
      <c r="B327" s="533">
        <v>4220</v>
      </c>
      <c r="C327" s="534" t="s">
        <v>195</v>
      </c>
      <c r="D327" s="535">
        <v>116600</v>
      </c>
      <c r="E327" s="536" t="s">
        <v>128</v>
      </c>
      <c r="F327" s="536" t="s">
        <v>128</v>
      </c>
    </row>
    <row r="328" spans="1:6" s="537" customFormat="1">
      <c r="A328" s="542" t="s">
        <v>128</v>
      </c>
      <c r="B328" s="543">
        <v>4228</v>
      </c>
      <c r="C328" s="544" t="s">
        <v>195</v>
      </c>
      <c r="D328" s="545">
        <v>29750</v>
      </c>
      <c r="E328" s="536" t="s">
        <v>128</v>
      </c>
      <c r="F328" s="536" t="s">
        <v>128</v>
      </c>
    </row>
    <row r="329" spans="1:6" s="537" customFormat="1">
      <c r="A329" s="546" t="s">
        <v>128</v>
      </c>
      <c r="B329" s="547">
        <v>4229</v>
      </c>
      <c r="C329" s="548" t="s">
        <v>195</v>
      </c>
      <c r="D329" s="549">
        <v>5250</v>
      </c>
      <c r="E329" s="536" t="s">
        <v>128</v>
      </c>
      <c r="F329" s="536" t="s">
        <v>128</v>
      </c>
    </row>
    <row r="330" spans="1:6" s="537" customFormat="1">
      <c r="A330" s="532" t="s">
        <v>128</v>
      </c>
      <c r="B330" s="533">
        <v>4260</v>
      </c>
      <c r="C330" s="534" t="s">
        <v>640</v>
      </c>
      <c r="D330" s="535">
        <v>3300000</v>
      </c>
      <c r="E330" s="536" t="s">
        <v>128</v>
      </c>
      <c r="F330" s="536" t="s">
        <v>128</v>
      </c>
    </row>
    <row r="331" spans="1:6" s="537" customFormat="1">
      <c r="A331" s="532" t="s">
        <v>128</v>
      </c>
      <c r="B331" s="533">
        <v>4268</v>
      </c>
      <c r="C331" s="534" t="s">
        <v>640</v>
      </c>
      <c r="D331" s="535">
        <v>1204450</v>
      </c>
      <c r="E331" s="536" t="s">
        <v>128</v>
      </c>
      <c r="F331" s="536" t="s">
        <v>128</v>
      </c>
    </row>
    <row r="332" spans="1:6" s="537" customFormat="1">
      <c r="A332" s="532" t="s">
        <v>128</v>
      </c>
      <c r="B332" s="533">
        <v>4269</v>
      </c>
      <c r="C332" s="534" t="s">
        <v>640</v>
      </c>
      <c r="D332" s="535">
        <v>212550</v>
      </c>
      <c r="E332" s="536" t="s">
        <v>128</v>
      </c>
      <c r="F332" s="536" t="s">
        <v>128</v>
      </c>
    </row>
    <row r="333" spans="1:6" s="537" customFormat="1" ht="12.75" customHeight="1">
      <c r="A333" s="532" t="s">
        <v>128</v>
      </c>
      <c r="B333" s="533">
        <v>4270</v>
      </c>
      <c r="C333" s="534" t="s">
        <v>196</v>
      </c>
      <c r="D333" s="535">
        <v>1074600</v>
      </c>
      <c r="E333" s="536" t="s">
        <v>128</v>
      </c>
      <c r="F333" s="536" t="s">
        <v>128</v>
      </c>
    </row>
    <row r="334" spans="1:6" s="537" customFormat="1" ht="12.75" customHeight="1">
      <c r="A334" s="532" t="s">
        <v>128</v>
      </c>
      <c r="B334" s="533">
        <v>4278</v>
      </c>
      <c r="C334" s="534" t="s">
        <v>196</v>
      </c>
      <c r="D334" s="535">
        <v>55250</v>
      </c>
      <c r="E334" s="536" t="s">
        <v>128</v>
      </c>
      <c r="F334" s="536" t="s">
        <v>128</v>
      </c>
    </row>
    <row r="335" spans="1:6" s="537" customFormat="1">
      <c r="A335" s="532" t="s">
        <v>128</v>
      </c>
      <c r="B335" s="533">
        <v>4279</v>
      </c>
      <c r="C335" s="534" t="s">
        <v>196</v>
      </c>
      <c r="D335" s="535">
        <v>9750</v>
      </c>
      <c r="E335" s="536" t="s">
        <v>128</v>
      </c>
      <c r="F335" s="536" t="s">
        <v>128</v>
      </c>
    </row>
    <row r="336" spans="1:6" s="537" customFormat="1">
      <c r="A336" s="532" t="s">
        <v>128</v>
      </c>
      <c r="B336" s="533">
        <v>4280</v>
      </c>
      <c r="C336" s="534" t="s">
        <v>666</v>
      </c>
      <c r="D336" s="535">
        <v>84000</v>
      </c>
      <c r="E336" s="536" t="s">
        <v>128</v>
      </c>
      <c r="F336" s="536" t="s">
        <v>128</v>
      </c>
    </row>
    <row r="337" spans="1:6" s="537" customFormat="1">
      <c r="A337" s="532" t="s">
        <v>128</v>
      </c>
      <c r="B337" s="533">
        <v>4288</v>
      </c>
      <c r="C337" s="534" t="s">
        <v>666</v>
      </c>
      <c r="D337" s="535">
        <v>15300</v>
      </c>
      <c r="E337" s="536" t="s">
        <v>128</v>
      </c>
      <c r="F337" s="536" t="s">
        <v>128</v>
      </c>
    </row>
    <row r="338" spans="1:6" s="537" customFormat="1">
      <c r="A338" s="532" t="s">
        <v>128</v>
      </c>
      <c r="B338" s="533">
        <v>4289</v>
      </c>
      <c r="C338" s="534" t="s">
        <v>666</v>
      </c>
      <c r="D338" s="535">
        <v>2700</v>
      </c>
      <c r="E338" s="536" t="s">
        <v>128</v>
      </c>
      <c r="F338" s="536" t="s">
        <v>128</v>
      </c>
    </row>
    <row r="339" spans="1:6" s="537" customFormat="1">
      <c r="A339" s="532" t="s">
        <v>128</v>
      </c>
      <c r="B339" s="533">
        <v>4300</v>
      </c>
      <c r="C339" s="534" t="s">
        <v>197</v>
      </c>
      <c r="D339" s="535">
        <v>7400500</v>
      </c>
      <c r="E339" s="536" t="s">
        <v>128</v>
      </c>
      <c r="F339" s="536" t="s">
        <v>128</v>
      </c>
    </row>
    <row r="340" spans="1:6" s="537" customFormat="1">
      <c r="A340" s="532" t="s">
        <v>128</v>
      </c>
      <c r="B340" s="533">
        <v>4308</v>
      </c>
      <c r="C340" s="534" t="s">
        <v>197</v>
      </c>
      <c r="D340" s="535">
        <v>5049831</v>
      </c>
      <c r="E340" s="536" t="s">
        <v>128</v>
      </c>
      <c r="F340" s="536" t="s">
        <v>128</v>
      </c>
    </row>
    <row r="341" spans="1:6" s="537" customFormat="1">
      <c r="A341" s="532" t="s">
        <v>128</v>
      </c>
      <c r="B341" s="533">
        <v>4309</v>
      </c>
      <c r="C341" s="534" t="s">
        <v>197</v>
      </c>
      <c r="D341" s="535">
        <v>891147</v>
      </c>
      <c r="E341" s="536" t="s">
        <v>128</v>
      </c>
      <c r="F341" s="536" t="s">
        <v>128</v>
      </c>
    </row>
    <row r="342" spans="1:6" s="507" customFormat="1" ht="28.5" customHeight="1">
      <c r="A342" s="502" t="s">
        <v>128</v>
      </c>
      <c r="B342" s="503">
        <v>4340</v>
      </c>
      <c r="C342" s="504" t="s">
        <v>670</v>
      </c>
      <c r="D342" s="505">
        <v>1000000</v>
      </c>
      <c r="E342" s="506" t="s">
        <v>128</v>
      </c>
      <c r="F342" s="506" t="s">
        <v>128</v>
      </c>
    </row>
    <row r="343" spans="1:6" s="537" customFormat="1">
      <c r="A343" s="532" t="s">
        <v>128</v>
      </c>
      <c r="B343" s="533">
        <v>4360</v>
      </c>
      <c r="C343" s="534" t="s">
        <v>641</v>
      </c>
      <c r="D343" s="535">
        <v>480331</v>
      </c>
      <c r="E343" s="536" t="s">
        <v>128</v>
      </c>
      <c r="F343" s="536" t="s">
        <v>128</v>
      </c>
    </row>
    <row r="344" spans="1:6" s="537" customFormat="1">
      <c r="A344" s="532" t="s">
        <v>128</v>
      </c>
      <c r="B344" s="533">
        <v>4368</v>
      </c>
      <c r="C344" s="534" t="s">
        <v>641</v>
      </c>
      <c r="D344" s="535">
        <v>170000</v>
      </c>
      <c r="E344" s="536" t="s">
        <v>128</v>
      </c>
      <c r="F344" s="536" t="s">
        <v>128</v>
      </c>
    </row>
    <row r="345" spans="1:6" s="537" customFormat="1">
      <c r="A345" s="532" t="s">
        <v>128</v>
      </c>
      <c r="B345" s="533">
        <v>4369</v>
      </c>
      <c r="C345" s="534" t="s">
        <v>641</v>
      </c>
      <c r="D345" s="535">
        <v>30000</v>
      </c>
      <c r="E345" s="536" t="s">
        <v>128</v>
      </c>
      <c r="F345" s="536" t="s">
        <v>128</v>
      </c>
    </row>
    <row r="346" spans="1:6" s="537" customFormat="1">
      <c r="A346" s="532" t="s">
        <v>128</v>
      </c>
      <c r="B346" s="533">
        <v>4380</v>
      </c>
      <c r="C346" s="534" t="s">
        <v>642</v>
      </c>
      <c r="D346" s="535">
        <v>3000</v>
      </c>
      <c r="E346" s="536" t="s">
        <v>128</v>
      </c>
      <c r="F346" s="536" t="s">
        <v>128</v>
      </c>
    </row>
    <row r="347" spans="1:6" s="537" customFormat="1">
      <c r="A347" s="532" t="s">
        <v>128</v>
      </c>
      <c r="B347" s="533">
        <v>4388</v>
      </c>
      <c r="C347" s="534" t="s">
        <v>642</v>
      </c>
      <c r="D347" s="535">
        <v>17000</v>
      </c>
      <c r="E347" s="536" t="s">
        <v>128</v>
      </c>
      <c r="F347" s="536" t="s">
        <v>128</v>
      </c>
    </row>
    <row r="348" spans="1:6" s="537" customFormat="1">
      <c r="A348" s="532" t="s">
        <v>128</v>
      </c>
      <c r="B348" s="533">
        <v>4389</v>
      </c>
      <c r="C348" s="534" t="s">
        <v>642</v>
      </c>
      <c r="D348" s="535">
        <v>3000</v>
      </c>
      <c r="E348" s="536" t="s">
        <v>128</v>
      </c>
      <c r="F348" s="536" t="s">
        <v>128</v>
      </c>
    </row>
    <row r="349" spans="1:6" s="537" customFormat="1">
      <c r="A349" s="532" t="s">
        <v>128</v>
      </c>
      <c r="B349" s="533">
        <v>4390</v>
      </c>
      <c r="C349" s="534" t="s">
        <v>651</v>
      </c>
      <c r="D349" s="535">
        <v>112650</v>
      </c>
      <c r="E349" s="536" t="s">
        <v>128</v>
      </c>
      <c r="F349" s="536" t="s">
        <v>128</v>
      </c>
    </row>
    <row r="350" spans="1:6" s="537" customFormat="1">
      <c r="A350" s="532" t="s">
        <v>128</v>
      </c>
      <c r="B350" s="533">
        <v>4398</v>
      </c>
      <c r="C350" s="534" t="s">
        <v>651</v>
      </c>
      <c r="D350" s="535">
        <v>794750</v>
      </c>
      <c r="E350" s="536" t="s">
        <v>128</v>
      </c>
      <c r="F350" s="536" t="s">
        <v>128</v>
      </c>
    </row>
    <row r="351" spans="1:6" s="537" customFormat="1">
      <c r="A351" s="532" t="s">
        <v>128</v>
      </c>
      <c r="B351" s="533">
        <v>4399</v>
      </c>
      <c r="C351" s="534" t="s">
        <v>651</v>
      </c>
      <c r="D351" s="535">
        <v>140250</v>
      </c>
      <c r="E351" s="536" t="s">
        <v>128</v>
      </c>
      <c r="F351" s="536" t="s">
        <v>128</v>
      </c>
    </row>
    <row r="352" spans="1:6" s="537" customFormat="1">
      <c r="A352" s="532" t="s">
        <v>128</v>
      </c>
      <c r="B352" s="533">
        <v>4400</v>
      </c>
      <c r="C352" s="534" t="s">
        <v>643</v>
      </c>
      <c r="D352" s="535">
        <v>1800000</v>
      </c>
      <c r="E352" s="536" t="s">
        <v>128</v>
      </c>
      <c r="F352" s="536" t="s">
        <v>128</v>
      </c>
    </row>
    <row r="353" spans="1:6" s="537" customFormat="1">
      <c r="A353" s="532" t="s">
        <v>128</v>
      </c>
      <c r="B353" s="533">
        <v>4408</v>
      </c>
      <c r="C353" s="534" t="s">
        <v>643</v>
      </c>
      <c r="D353" s="535">
        <v>1183200</v>
      </c>
      <c r="E353" s="536" t="s">
        <v>128</v>
      </c>
      <c r="F353" s="536" t="s">
        <v>128</v>
      </c>
    </row>
    <row r="354" spans="1:6" s="537" customFormat="1">
      <c r="A354" s="532" t="s">
        <v>128</v>
      </c>
      <c r="B354" s="533">
        <v>4409</v>
      </c>
      <c r="C354" s="534" t="s">
        <v>643</v>
      </c>
      <c r="D354" s="535">
        <v>208800</v>
      </c>
      <c r="E354" s="536" t="s">
        <v>128</v>
      </c>
      <c r="F354" s="536" t="s">
        <v>128</v>
      </c>
    </row>
    <row r="355" spans="1:6" s="537" customFormat="1">
      <c r="A355" s="532" t="s">
        <v>128</v>
      </c>
      <c r="B355" s="533">
        <v>4410</v>
      </c>
      <c r="C355" s="534" t="s">
        <v>198</v>
      </c>
      <c r="D355" s="535">
        <v>166000</v>
      </c>
      <c r="E355" s="536" t="s">
        <v>128</v>
      </c>
      <c r="F355" s="536" t="s">
        <v>128</v>
      </c>
    </row>
    <row r="356" spans="1:6" s="537" customFormat="1">
      <c r="A356" s="532" t="s">
        <v>128</v>
      </c>
      <c r="B356" s="533">
        <v>4418</v>
      </c>
      <c r="C356" s="534" t="s">
        <v>198</v>
      </c>
      <c r="D356" s="535">
        <v>59500</v>
      </c>
      <c r="E356" s="536" t="s">
        <v>128</v>
      </c>
      <c r="F356" s="536" t="s">
        <v>128</v>
      </c>
    </row>
    <row r="357" spans="1:6" s="537" customFormat="1">
      <c r="A357" s="532" t="s">
        <v>128</v>
      </c>
      <c r="B357" s="533">
        <v>4419</v>
      </c>
      <c r="C357" s="534" t="s">
        <v>198</v>
      </c>
      <c r="D357" s="535">
        <v>10500</v>
      </c>
      <c r="E357" s="536" t="s">
        <v>128</v>
      </c>
      <c r="F357" s="536" t="s">
        <v>128</v>
      </c>
    </row>
    <row r="358" spans="1:6" s="537" customFormat="1">
      <c r="A358" s="532" t="s">
        <v>128</v>
      </c>
      <c r="B358" s="533">
        <v>4420</v>
      </c>
      <c r="C358" s="534" t="s">
        <v>644</v>
      </c>
      <c r="D358" s="535">
        <v>300000</v>
      </c>
      <c r="E358" s="536" t="s">
        <v>128</v>
      </c>
      <c r="F358" s="536" t="s">
        <v>128</v>
      </c>
    </row>
    <row r="359" spans="1:6" s="537" customFormat="1">
      <c r="A359" s="532" t="s">
        <v>128</v>
      </c>
      <c r="B359" s="533">
        <v>4428</v>
      </c>
      <c r="C359" s="534" t="s">
        <v>644</v>
      </c>
      <c r="D359" s="535">
        <v>297500</v>
      </c>
      <c r="E359" s="536" t="s">
        <v>128</v>
      </c>
      <c r="F359" s="536" t="s">
        <v>128</v>
      </c>
    </row>
    <row r="360" spans="1:6" s="537" customFormat="1">
      <c r="A360" s="532" t="s">
        <v>128</v>
      </c>
      <c r="B360" s="533">
        <v>4429</v>
      </c>
      <c r="C360" s="534" t="s">
        <v>644</v>
      </c>
      <c r="D360" s="535">
        <v>52500</v>
      </c>
      <c r="E360" s="536" t="s">
        <v>128</v>
      </c>
      <c r="F360" s="536" t="s">
        <v>128</v>
      </c>
    </row>
    <row r="361" spans="1:6" s="537" customFormat="1">
      <c r="A361" s="532" t="s">
        <v>128</v>
      </c>
      <c r="B361" s="533">
        <v>4430</v>
      </c>
      <c r="C361" s="534" t="s">
        <v>645</v>
      </c>
      <c r="D361" s="535">
        <v>190000</v>
      </c>
      <c r="E361" s="536" t="s">
        <v>128</v>
      </c>
      <c r="F361" s="536" t="s">
        <v>128</v>
      </c>
    </row>
    <row r="362" spans="1:6" s="537" customFormat="1">
      <c r="A362" s="532" t="s">
        <v>128</v>
      </c>
      <c r="B362" s="533">
        <v>4438</v>
      </c>
      <c r="C362" s="534" t="s">
        <v>645</v>
      </c>
      <c r="D362" s="535">
        <v>63750</v>
      </c>
      <c r="E362" s="536" t="s">
        <v>128</v>
      </c>
      <c r="F362" s="536" t="s">
        <v>128</v>
      </c>
    </row>
    <row r="363" spans="1:6" s="537" customFormat="1">
      <c r="A363" s="532" t="s">
        <v>128</v>
      </c>
      <c r="B363" s="533">
        <v>4439</v>
      </c>
      <c r="C363" s="534" t="s">
        <v>645</v>
      </c>
      <c r="D363" s="535">
        <v>11250</v>
      </c>
      <c r="E363" s="536" t="s">
        <v>128</v>
      </c>
      <c r="F363" s="536" t="s">
        <v>128</v>
      </c>
    </row>
    <row r="364" spans="1:6" s="537" customFormat="1">
      <c r="A364" s="532" t="s">
        <v>128</v>
      </c>
      <c r="B364" s="533">
        <v>4440</v>
      </c>
      <c r="C364" s="534" t="s">
        <v>667</v>
      </c>
      <c r="D364" s="535">
        <v>2504863</v>
      </c>
      <c r="E364" s="536" t="s">
        <v>128</v>
      </c>
      <c r="F364" s="536" t="s">
        <v>128</v>
      </c>
    </row>
    <row r="365" spans="1:6" s="537" customFormat="1">
      <c r="A365" s="532" t="s">
        <v>128</v>
      </c>
      <c r="B365" s="533">
        <v>4480</v>
      </c>
      <c r="C365" s="534" t="s">
        <v>649</v>
      </c>
      <c r="D365" s="535">
        <v>144000</v>
      </c>
      <c r="E365" s="536" t="s">
        <v>128</v>
      </c>
      <c r="F365" s="536" t="s">
        <v>128</v>
      </c>
    </row>
    <row r="366" spans="1:6" s="537" customFormat="1">
      <c r="A366" s="532" t="s">
        <v>128</v>
      </c>
      <c r="B366" s="533">
        <v>4500</v>
      </c>
      <c r="C366" s="534" t="s">
        <v>662</v>
      </c>
      <c r="D366" s="535">
        <v>720</v>
      </c>
      <c r="E366" s="536" t="s">
        <v>128</v>
      </c>
      <c r="F366" s="536" t="s">
        <v>128</v>
      </c>
    </row>
    <row r="367" spans="1:6" s="537" customFormat="1">
      <c r="A367" s="532" t="s">
        <v>128</v>
      </c>
      <c r="B367" s="533">
        <v>4510</v>
      </c>
      <c r="C367" s="534" t="s">
        <v>655</v>
      </c>
      <c r="D367" s="535">
        <v>500</v>
      </c>
      <c r="E367" s="536" t="s">
        <v>128</v>
      </c>
      <c r="F367" s="536" t="s">
        <v>128</v>
      </c>
    </row>
    <row r="368" spans="1:6" s="537" customFormat="1">
      <c r="A368" s="532" t="s">
        <v>128</v>
      </c>
      <c r="B368" s="533">
        <v>4520</v>
      </c>
      <c r="C368" s="534" t="s">
        <v>656</v>
      </c>
      <c r="D368" s="535">
        <v>103850</v>
      </c>
      <c r="E368" s="536" t="s">
        <v>128</v>
      </c>
      <c r="F368" s="536" t="s">
        <v>128</v>
      </c>
    </row>
    <row r="369" spans="1:6" s="537" customFormat="1">
      <c r="A369" s="532" t="s">
        <v>128</v>
      </c>
      <c r="B369" s="533">
        <v>4530</v>
      </c>
      <c r="C369" s="534" t="s">
        <v>663</v>
      </c>
      <c r="D369" s="535">
        <v>700</v>
      </c>
      <c r="E369" s="536" t="s">
        <v>128</v>
      </c>
      <c r="F369" s="536" t="s">
        <v>128</v>
      </c>
    </row>
    <row r="370" spans="1:6" s="537" customFormat="1">
      <c r="A370" s="532" t="s">
        <v>128</v>
      </c>
      <c r="B370" s="533">
        <v>4610</v>
      </c>
      <c r="C370" s="534" t="s">
        <v>199</v>
      </c>
      <c r="D370" s="535">
        <v>99600</v>
      </c>
      <c r="E370" s="536" t="s">
        <v>128</v>
      </c>
      <c r="F370" s="536" t="s">
        <v>128</v>
      </c>
    </row>
    <row r="371" spans="1:6" s="537" customFormat="1">
      <c r="A371" s="532" t="s">
        <v>128</v>
      </c>
      <c r="B371" s="533">
        <v>4618</v>
      </c>
      <c r="C371" s="534" t="s">
        <v>199</v>
      </c>
      <c r="D371" s="535">
        <v>127500</v>
      </c>
      <c r="E371" s="536" t="s">
        <v>128</v>
      </c>
      <c r="F371" s="536" t="s">
        <v>128</v>
      </c>
    </row>
    <row r="372" spans="1:6" s="537" customFormat="1">
      <c r="A372" s="532" t="s">
        <v>128</v>
      </c>
      <c r="B372" s="533">
        <v>4619</v>
      </c>
      <c r="C372" s="534" t="s">
        <v>199</v>
      </c>
      <c r="D372" s="535">
        <v>22500</v>
      </c>
      <c r="E372" s="536" t="s">
        <v>128</v>
      </c>
      <c r="F372" s="536" t="s">
        <v>128</v>
      </c>
    </row>
    <row r="373" spans="1:6" s="537" customFormat="1">
      <c r="A373" s="532" t="s">
        <v>128</v>
      </c>
      <c r="B373" s="533">
        <v>4700</v>
      </c>
      <c r="C373" s="534" t="s">
        <v>646</v>
      </c>
      <c r="D373" s="535">
        <v>128000</v>
      </c>
      <c r="E373" s="536" t="s">
        <v>128</v>
      </c>
      <c r="F373" s="536" t="s">
        <v>128</v>
      </c>
    </row>
    <row r="374" spans="1:6" s="537" customFormat="1">
      <c r="A374" s="532" t="s">
        <v>128</v>
      </c>
      <c r="B374" s="533">
        <v>4708</v>
      </c>
      <c r="C374" s="534" t="s">
        <v>646</v>
      </c>
      <c r="D374" s="535">
        <v>283475</v>
      </c>
      <c r="E374" s="536" t="s">
        <v>128</v>
      </c>
      <c r="F374" s="536" t="s">
        <v>128</v>
      </c>
    </row>
    <row r="375" spans="1:6" s="537" customFormat="1">
      <c r="A375" s="532" t="s">
        <v>128</v>
      </c>
      <c r="B375" s="533">
        <v>4709</v>
      </c>
      <c r="C375" s="534" t="s">
        <v>646</v>
      </c>
      <c r="D375" s="535">
        <v>50025</v>
      </c>
      <c r="E375" s="536" t="s">
        <v>128</v>
      </c>
      <c r="F375" s="536" t="s">
        <v>128</v>
      </c>
    </row>
    <row r="376" spans="1:6" s="537" customFormat="1">
      <c r="A376" s="532" t="s">
        <v>128</v>
      </c>
      <c r="B376" s="533">
        <v>4710</v>
      </c>
      <c r="C376" s="534" t="s">
        <v>204</v>
      </c>
      <c r="D376" s="535">
        <v>235219</v>
      </c>
      <c r="E376" s="536" t="s">
        <v>128</v>
      </c>
      <c r="F376" s="536" t="s">
        <v>128</v>
      </c>
    </row>
    <row r="377" spans="1:6" s="537" customFormat="1">
      <c r="A377" s="532" t="s">
        <v>128</v>
      </c>
      <c r="B377" s="533">
        <v>4718</v>
      </c>
      <c r="C377" s="534" t="s">
        <v>204</v>
      </c>
      <c r="D377" s="535">
        <v>212500</v>
      </c>
      <c r="E377" s="536" t="s">
        <v>128</v>
      </c>
      <c r="F377" s="536" t="s">
        <v>128</v>
      </c>
    </row>
    <row r="378" spans="1:6" s="537" customFormat="1">
      <c r="A378" s="532" t="s">
        <v>128</v>
      </c>
      <c r="B378" s="533">
        <v>4719</v>
      </c>
      <c r="C378" s="534" t="s">
        <v>204</v>
      </c>
      <c r="D378" s="535">
        <v>37500</v>
      </c>
      <c r="E378" s="536" t="s">
        <v>128</v>
      </c>
      <c r="F378" s="536" t="s">
        <v>128</v>
      </c>
    </row>
    <row r="379" spans="1:6" s="537" customFormat="1">
      <c r="A379" s="532" t="s">
        <v>128</v>
      </c>
      <c r="B379" s="533">
        <v>6050</v>
      </c>
      <c r="C379" s="534" t="s">
        <v>203</v>
      </c>
      <c r="D379" s="535">
        <v>7500000</v>
      </c>
      <c r="E379" s="536" t="s">
        <v>128</v>
      </c>
      <c r="F379" s="536" t="s">
        <v>128</v>
      </c>
    </row>
    <row r="380" spans="1:6" s="537" customFormat="1">
      <c r="A380" s="532" t="s">
        <v>128</v>
      </c>
      <c r="B380" s="533">
        <v>6060</v>
      </c>
      <c r="C380" s="534" t="s">
        <v>263</v>
      </c>
      <c r="D380" s="535">
        <v>920000</v>
      </c>
      <c r="E380" s="536" t="s">
        <v>128</v>
      </c>
      <c r="F380" s="536" t="s">
        <v>128</v>
      </c>
    </row>
    <row r="381" spans="1:6" s="537" customFormat="1">
      <c r="A381" s="532" t="s">
        <v>128</v>
      </c>
      <c r="B381" s="533">
        <v>6068</v>
      </c>
      <c r="C381" s="534" t="s">
        <v>263</v>
      </c>
      <c r="D381" s="535">
        <v>85000</v>
      </c>
      <c r="E381" s="536" t="s">
        <v>128</v>
      </c>
      <c r="F381" s="536" t="s">
        <v>128</v>
      </c>
    </row>
    <row r="382" spans="1:6" s="537" customFormat="1">
      <c r="A382" s="532" t="s">
        <v>128</v>
      </c>
      <c r="B382" s="533">
        <v>6069</v>
      </c>
      <c r="C382" s="534" t="s">
        <v>263</v>
      </c>
      <c r="D382" s="535">
        <v>15000</v>
      </c>
      <c r="E382" s="536" t="s">
        <v>128</v>
      </c>
      <c r="F382" s="536" t="s">
        <v>128</v>
      </c>
    </row>
    <row r="383" spans="1:6" s="527" customFormat="1">
      <c r="A383" s="528">
        <v>75058</v>
      </c>
      <c r="B383" s="529" t="s">
        <v>128</v>
      </c>
      <c r="C383" s="530" t="s">
        <v>353</v>
      </c>
      <c r="D383" s="531">
        <f>SUM(D384:D395)</f>
        <v>710000</v>
      </c>
      <c r="E383" s="526" t="s">
        <v>128</v>
      </c>
      <c r="F383" s="526" t="s">
        <v>128</v>
      </c>
    </row>
    <row r="384" spans="1:6" s="537" customFormat="1">
      <c r="A384" s="532" t="s">
        <v>128</v>
      </c>
      <c r="B384" s="533">
        <v>4170</v>
      </c>
      <c r="C384" s="534" t="s">
        <v>192</v>
      </c>
      <c r="D384" s="535">
        <v>3000</v>
      </c>
      <c r="E384" s="536" t="s">
        <v>128</v>
      </c>
      <c r="F384" s="536" t="s">
        <v>128</v>
      </c>
    </row>
    <row r="385" spans="1:6" s="537" customFormat="1">
      <c r="A385" s="532" t="s">
        <v>128</v>
      </c>
      <c r="B385" s="533">
        <v>4210</v>
      </c>
      <c r="C385" s="534" t="s">
        <v>194</v>
      </c>
      <c r="D385" s="535">
        <v>83100</v>
      </c>
      <c r="E385" s="536" t="s">
        <v>128</v>
      </c>
      <c r="F385" s="536" t="s">
        <v>128</v>
      </c>
    </row>
    <row r="386" spans="1:6" s="537" customFormat="1">
      <c r="A386" s="532" t="s">
        <v>128</v>
      </c>
      <c r="B386" s="533">
        <v>4220</v>
      </c>
      <c r="C386" s="534" t="s">
        <v>195</v>
      </c>
      <c r="D386" s="535">
        <v>4000</v>
      </c>
      <c r="E386" s="536" t="s">
        <v>128</v>
      </c>
      <c r="F386" s="536" t="s">
        <v>128</v>
      </c>
    </row>
    <row r="387" spans="1:6" s="537" customFormat="1">
      <c r="A387" s="532" t="s">
        <v>128</v>
      </c>
      <c r="B387" s="533">
        <v>4260</v>
      </c>
      <c r="C387" s="534" t="s">
        <v>640</v>
      </c>
      <c r="D387" s="535">
        <v>47000</v>
      </c>
      <c r="E387" s="536" t="s">
        <v>128</v>
      </c>
      <c r="F387" s="536" t="s">
        <v>128</v>
      </c>
    </row>
    <row r="388" spans="1:6" s="537" customFormat="1">
      <c r="A388" s="532" t="s">
        <v>128</v>
      </c>
      <c r="B388" s="533">
        <v>4300</v>
      </c>
      <c r="C388" s="534" t="s">
        <v>197</v>
      </c>
      <c r="D388" s="535">
        <v>20000</v>
      </c>
      <c r="E388" s="536" t="s">
        <v>128</v>
      </c>
      <c r="F388" s="536" t="s">
        <v>128</v>
      </c>
    </row>
    <row r="389" spans="1:6" s="537" customFormat="1">
      <c r="A389" s="532" t="s">
        <v>128</v>
      </c>
      <c r="B389" s="533">
        <v>4360</v>
      </c>
      <c r="C389" s="534" t="s">
        <v>641</v>
      </c>
      <c r="D389" s="535">
        <v>23000</v>
      </c>
      <c r="E389" s="536" t="s">
        <v>128</v>
      </c>
      <c r="F389" s="536" t="s">
        <v>128</v>
      </c>
    </row>
    <row r="390" spans="1:6" s="537" customFormat="1">
      <c r="A390" s="532" t="s">
        <v>128</v>
      </c>
      <c r="B390" s="533">
        <v>4380</v>
      </c>
      <c r="C390" s="534" t="s">
        <v>642</v>
      </c>
      <c r="D390" s="535">
        <v>2000</v>
      </c>
      <c r="E390" s="536" t="s">
        <v>128</v>
      </c>
      <c r="F390" s="536" t="s">
        <v>128</v>
      </c>
    </row>
    <row r="391" spans="1:6" s="537" customFormat="1">
      <c r="A391" s="532" t="s">
        <v>128</v>
      </c>
      <c r="B391" s="533">
        <v>4400</v>
      </c>
      <c r="C391" s="534" t="s">
        <v>643</v>
      </c>
      <c r="D391" s="535">
        <v>296400</v>
      </c>
      <c r="E391" s="536" t="s">
        <v>128</v>
      </c>
      <c r="F391" s="536" t="s">
        <v>128</v>
      </c>
    </row>
    <row r="392" spans="1:6" s="537" customFormat="1">
      <c r="A392" s="532" t="s">
        <v>128</v>
      </c>
      <c r="B392" s="533">
        <v>4420</v>
      </c>
      <c r="C392" s="534" t="s">
        <v>644</v>
      </c>
      <c r="D392" s="535">
        <v>5000</v>
      </c>
      <c r="E392" s="536" t="s">
        <v>128</v>
      </c>
      <c r="F392" s="536" t="s">
        <v>128</v>
      </c>
    </row>
    <row r="393" spans="1:6" s="537" customFormat="1">
      <c r="A393" s="532" t="s">
        <v>128</v>
      </c>
      <c r="B393" s="533">
        <v>4430</v>
      </c>
      <c r="C393" s="534" t="s">
        <v>645</v>
      </c>
      <c r="D393" s="535">
        <v>222000</v>
      </c>
      <c r="E393" s="536" t="s">
        <v>128</v>
      </c>
      <c r="F393" s="536" t="s">
        <v>128</v>
      </c>
    </row>
    <row r="394" spans="1:6" s="537" customFormat="1">
      <c r="A394" s="532" t="s">
        <v>128</v>
      </c>
      <c r="B394" s="533">
        <v>4480</v>
      </c>
      <c r="C394" s="534" t="s">
        <v>649</v>
      </c>
      <c r="D394" s="535">
        <v>4000</v>
      </c>
      <c r="E394" s="536" t="s">
        <v>128</v>
      </c>
      <c r="F394" s="536" t="s">
        <v>128</v>
      </c>
    </row>
    <row r="395" spans="1:6" s="537" customFormat="1">
      <c r="A395" s="532" t="s">
        <v>128</v>
      </c>
      <c r="B395" s="533">
        <v>4530</v>
      </c>
      <c r="C395" s="534" t="s">
        <v>663</v>
      </c>
      <c r="D395" s="535">
        <v>500</v>
      </c>
      <c r="E395" s="536" t="s">
        <v>128</v>
      </c>
      <c r="F395" s="536" t="s">
        <v>128</v>
      </c>
    </row>
    <row r="396" spans="1:6" s="527" customFormat="1">
      <c r="A396" s="528">
        <v>75075</v>
      </c>
      <c r="B396" s="529" t="s">
        <v>128</v>
      </c>
      <c r="C396" s="530" t="s">
        <v>355</v>
      </c>
      <c r="D396" s="531">
        <f>SUM(D397:D408)</f>
        <v>26500000</v>
      </c>
      <c r="E396" s="526" t="s">
        <v>128</v>
      </c>
      <c r="F396" s="526" t="s">
        <v>128</v>
      </c>
    </row>
    <row r="397" spans="1:6" s="537" customFormat="1" ht="18" customHeight="1">
      <c r="A397" s="532" t="s">
        <v>128</v>
      </c>
      <c r="B397" s="533">
        <v>3040</v>
      </c>
      <c r="C397" s="534" t="s">
        <v>671</v>
      </c>
      <c r="D397" s="535">
        <v>30000</v>
      </c>
      <c r="E397" s="536" t="s">
        <v>128</v>
      </c>
      <c r="F397" s="536" t="s">
        <v>128</v>
      </c>
    </row>
    <row r="398" spans="1:6" s="537" customFormat="1">
      <c r="A398" s="532" t="s">
        <v>128</v>
      </c>
      <c r="B398" s="533">
        <v>4110</v>
      </c>
      <c r="C398" s="534" t="s">
        <v>190</v>
      </c>
      <c r="D398" s="535">
        <v>30000</v>
      </c>
      <c r="E398" s="536" t="s">
        <v>128</v>
      </c>
      <c r="F398" s="536" t="s">
        <v>128</v>
      </c>
    </row>
    <row r="399" spans="1:6" s="537" customFormat="1">
      <c r="A399" s="532" t="s">
        <v>128</v>
      </c>
      <c r="B399" s="533">
        <v>4120</v>
      </c>
      <c r="C399" s="534" t="s">
        <v>191</v>
      </c>
      <c r="D399" s="535">
        <v>2000</v>
      </c>
      <c r="E399" s="536" t="s">
        <v>128</v>
      </c>
      <c r="F399" s="536" t="s">
        <v>128</v>
      </c>
    </row>
    <row r="400" spans="1:6" s="537" customFormat="1">
      <c r="A400" s="542" t="s">
        <v>128</v>
      </c>
      <c r="B400" s="543">
        <v>4170</v>
      </c>
      <c r="C400" s="544" t="s">
        <v>192</v>
      </c>
      <c r="D400" s="545">
        <v>500000</v>
      </c>
      <c r="E400" s="536" t="s">
        <v>128</v>
      </c>
      <c r="F400" s="536" t="s">
        <v>128</v>
      </c>
    </row>
    <row r="401" spans="1:6" s="537" customFormat="1">
      <c r="A401" s="546" t="s">
        <v>128</v>
      </c>
      <c r="B401" s="547">
        <v>4190</v>
      </c>
      <c r="C401" s="548" t="s">
        <v>193</v>
      </c>
      <c r="D401" s="549">
        <v>40000</v>
      </c>
      <c r="E401" s="536" t="s">
        <v>128</v>
      </c>
      <c r="F401" s="536" t="s">
        <v>128</v>
      </c>
    </row>
    <row r="402" spans="1:6" s="537" customFormat="1">
      <c r="A402" s="532" t="s">
        <v>128</v>
      </c>
      <c r="B402" s="533">
        <v>4210</v>
      </c>
      <c r="C402" s="534" t="s">
        <v>194</v>
      </c>
      <c r="D402" s="535">
        <v>300000</v>
      </c>
      <c r="E402" s="536" t="s">
        <v>128</v>
      </c>
      <c r="F402" s="536" t="s">
        <v>128</v>
      </c>
    </row>
    <row r="403" spans="1:6" s="537" customFormat="1">
      <c r="A403" s="532" t="s">
        <v>128</v>
      </c>
      <c r="B403" s="533">
        <v>4220</v>
      </c>
      <c r="C403" s="534" t="s">
        <v>195</v>
      </c>
      <c r="D403" s="535">
        <v>75000</v>
      </c>
      <c r="E403" s="536" t="s">
        <v>128</v>
      </c>
      <c r="F403" s="536" t="s">
        <v>128</v>
      </c>
    </row>
    <row r="404" spans="1:6" s="537" customFormat="1">
      <c r="A404" s="532" t="s">
        <v>128</v>
      </c>
      <c r="B404" s="533">
        <v>4300</v>
      </c>
      <c r="C404" s="534" t="s">
        <v>197</v>
      </c>
      <c r="D404" s="535">
        <v>25486000</v>
      </c>
      <c r="E404" s="536" t="s">
        <v>128</v>
      </c>
      <c r="F404" s="536" t="s">
        <v>128</v>
      </c>
    </row>
    <row r="405" spans="1:6" s="537" customFormat="1" ht="12.75" customHeight="1">
      <c r="A405" s="532" t="s">
        <v>128</v>
      </c>
      <c r="B405" s="533">
        <v>4380</v>
      </c>
      <c r="C405" s="534" t="s">
        <v>642</v>
      </c>
      <c r="D405" s="535">
        <v>1000</v>
      </c>
      <c r="E405" s="536" t="s">
        <v>128</v>
      </c>
      <c r="F405" s="536" t="s">
        <v>128</v>
      </c>
    </row>
    <row r="406" spans="1:6" s="537" customFormat="1">
      <c r="A406" s="532" t="s">
        <v>128</v>
      </c>
      <c r="B406" s="533">
        <v>4520</v>
      </c>
      <c r="C406" s="534" t="s">
        <v>656</v>
      </c>
      <c r="D406" s="535">
        <v>5000</v>
      </c>
      <c r="E406" s="536" t="s">
        <v>128</v>
      </c>
      <c r="F406" s="536" t="s">
        <v>128</v>
      </c>
    </row>
    <row r="407" spans="1:6" s="537" customFormat="1">
      <c r="A407" s="532" t="s">
        <v>128</v>
      </c>
      <c r="B407" s="533">
        <v>4530</v>
      </c>
      <c r="C407" s="534" t="s">
        <v>663</v>
      </c>
      <c r="D407" s="535">
        <v>1000</v>
      </c>
      <c r="E407" s="536" t="s">
        <v>128</v>
      </c>
      <c r="F407" s="536" t="s">
        <v>128</v>
      </c>
    </row>
    <row r="408" spans="1:6" s="537" customFormat="1">
      <c r="A408" s="532" t="s">
        <v>128</v>
      </c>
      <c r="B408" s="533">
        <v>4700</v>
      </c>
      <c r="C408" s="534" t="s">
        <v>646</v>
      </c>
      <c r="D408" s="535">
        <v>30000</v>
      </c>
      <c r="E408" s="536" t="s">
        <v>128</v>
      </c>
      <c r="F408" s="536" t="s">
        <v>128</v>
      </c>
    </row>
    <row r="409" spans="1:6" s="527" customFormat="1" ht="15" customHeight="1">
      <c r="A409" s="528">
        <v>75084</v>
      </c>
      <c r="B409" s="529" t="s">
        <v>128</v>
      </c>
      <c r="C409" s="530" t="s">
        <v>357</v>
      </c>
      <c r="D409" s="531">
        <f>SUM(D410:D419)</f>
        <v>202000</v>
      </c>
      <c r="E409" s="526" t="s">
        <v>128</v>
      </c>
      <c r="F409" s="526" t="s">
        <v>128</v>
      </c>
    </row>
    <row r="410" spans="1:6" s="537" customFormat="1">
      <c r="A410" s="532" t="s">
        <v>128</v>
      </c>
      <c r="B410" s="533">
        <v>3030</v>
      </c>
      <c r="C410" s="534" t="s">
        <v>669</v>
      </c>
      <c r="D410" s="535">
        <v>4000</v>
      </c>
      <c r="E410" s="536" t="s">
        <v>128</v>
      </c>
      <c r="F410" s="536" t="s">
        <v>128</v>
      </c>
    </row>
    <row r="411" spans="1:6" s="537" customFormat="1">
      <c r="A411" s="532" t="s">
        <v>128</v>
      </c>
      <c r="B411" s="533">
        <v>4010</v>
      </c>
      <c r="C411" s="534" t="s">
        <v>188</v>
      </c>
      <c r="D411" s="535">
        <v>111000</v>
      </c>
      <c r="E411" s="536" t="s">
        <v>128</v>
      </c>
      <c r="F411" s="536" t="s">
        <v>128</v>
      </c>
    </row>
    <row r="412" spans="1:6" s="537" customFormat="1">
      <c r="A412" s="532" t="s">
        <v>128</v>
      </c>
      <c r="B412" s="533">
        <v>4040</v>
      </c>
      <c r="C412" s="534" t="s">
        <v>189</v>
      </c>
      <c r="D412" s="535">
        <v>7000</v>
      </c>
      <c r="E412" s="536" t="s">
        <v>128</v>
      </c>
      <c r="F412" s="536" t="s">
        <v>128</v>
      </c>
    </row>
    <row r="413" spans="1:6" s="537" customFormat="1">
      <c r="A413" s="532" t="s">
        <v>128</v>
      </c>
      <c r="B413" s="533">
        <v>4110</v>
      </c>
      <c r="C413" s="534" t="s">
        <v>190</v>
      </c>
      <c r="D413" s="535">
        <v>19100</v>
      </c>
      <c r="E413" s="536" t="s">
        <v>128</v>
      </c>
      <c r="F413" s="536" t="s">
        <v>128</v>
      </c>
    </row>
    <row r="414" spans="1:6" s="537" customFormat="1">
      <c r="A414" s="532" t="s">
        <v>128</v>
      </c>
      <c r="B414" s="533">
        <v>4120</v>
      </c>
      <c r="C414" s="534" t="s">
        <v>191</v>
      </c>
      <c r="D414" s="535">
        <v>2700</v>
      </c>
      <c r="E414" s="536" t="s">
        <v>128</v>
      </c>
      <c r="F414" s="536" t="s">
        <v>128</v>
      </c>
    </row>
    <row r="415" spans="1:6" s="537" customFormat="1">
      <c r="A415" s="532" t="s">
        <v>128</v>
      </c>
      <c r="B415" s="533">
        <v>4210</v>
      </c>
      <c r="C415" s="534" t="s">
        <v>194</v>
      </c>
      <c r="D415" s="535">
        <v>2000</v>
      </c>
      <c r="E415" s="536" t="s">
        <v>128</v>
      </c>
      <c r="F415" s="536" t="s">
        <v>128</v>
      </c>
    </row>
    <row r="416" spans="1:6" s="537" customFormat="1">
      <c r="A416" s="532" t="s">
        <v>128</v>
      </c>
      <c r="B416" s="533">
        <v>4220</v>
      </c>
      <c r="C416" s="534" t="s">
        <v>195</v>
      </c>
      <c r="D416" s="535">
        <v>4000</v>
      </c>
      <c r="E416" s="536" t="s">
        <v>128</v>
      </c>
      <c r="F416" s="536" t="s">
        <v>128</v>
      </c>
    </row>
    <row r="417" spans="1:6" s="537" customFormat="1">
      <c r="A417" s="532" t="s">
        <v>128</v>
      </c>
      <c r="B417" s="533">
        <v>4300</v>
      </c>
      <c r="C417" s="534" t="s">
        <v>197</v>
      </c>
      <c r="D417" s="535">
        <v>50000</v>
      </c>
      <c r="E417" s="536" t="s">
        <v>128</v>
      </c>
      <c r="F417" s="536" t="s">
        <v>128</v>
      </c>
    </row>
    <row r="418" spans="1:6" s="537" customFormat="1">
      <c r="A418" s="532" t="s">
        <v>128</v>
      </c>
      <c r="B418" s="533">
        <v>4410</v>
      </c>
      <c r="C418" s="534" t="s">
        <v>198</v>
      </c>
      <c r="D418" s="535">
        <v>500</v>
      </c>
      <c r="E418" s="536" t="s">
        <v>128</v>
      </c>
      <c r="F418" s="536" t="s">
        <v>128</v>
      </c>
    </row>
    <row r="419" spans="1:6" s="537" customFormat="1">
      <c r="A419" s="532" t="s">
        <v>128</v>
      </c>
      <c r="B419" s="533">
        <v>4710</v>
      </c>
      <c r="C419" s="534" t="s">
        <v>204</v>
      </c>
      <c r="D419" s="535">
        <v>1700</v>
      </c>
      <c r="E419" s="536" t="s">
        <v>128</v>
      </c>
      <c r="F419" s="536" t="s">
        <v>128</v>
      </c>
    </row>
    <row r="420" spans="1:6" s="527" customFormat="1">
      <c r="A420" s="528">
        <v>75095</v>
      </c>
      <c r="B420" s="529" t="s">
        <v>128</v>
      </c>
      <c r="C420" s="530" t="s">
        <v>46</v>
      </c>
      <c r="D420" s="531">
        <f>SUM(D421:D470)</f>
        <v>10746369</v>
      </c>
      <c r="E420" s="526" t="s">
        <v>128</v>
      </c>
      <c r="F420" s="526" t="s">
        <v>128</v>
      </c>
    </row>
    <row r="421" spans="1:6" s="507" customFormat="1" ht="44.25" customHeight="1">
      <c r="A421" s="502" t="s">
        <v>128</v>
      </c>
      <c r="B421" s="503">
        <v>2058</v>
      </c>
      <c r="C421" s="504" t="s">
        <v>672</v>
      </c>
      <c r="D421" s="505">
        <v>2297299</v>
      </c>
      <c r="E421" s="506" t="s">
        <v>128</v>
      </c>
      <c r="F421" s="506" t="s">
        <v>128</v>
      </c>
    </row>
    <row r="422" spans="1:6" s="507" customFormat="1" ht="44.25" customHeight="1">
      <c r="A422" s="502" t="s">
        <v>128</v>
      </c>
      <c r="B422" s="503">
        <v>2360</v>
      </c>
      <c r="C422" s="504" t="s">
        <v>648</v>
      </c>
      <c r="D422" s="505">
        <v>140000</v>
      </c>
      <c r="E422" s="506" t="s">
        <v>128</v>
      </c>
      <c r="F422" s="506" t="s">
        <v>128</v>
      </c>
    </row>
    <row r="423" spans="1:6" s="537" customFormat="1">
      <c r="A423" s="532" t="s">
        <v>128</v>
      </c>
      <c r="B423" s="533">
        <v>3028</v>
      </c>
      <c r="C423" s="534" t="s">
        <v>664</v>
      </c>
      <c r="D423" s="535">
        <v>957</v>
      </c>
      <c r="E423" s="536" t="s">
        <v>128</v>
      </c>
      <c r="F423" s="536" t="s">
        <v>128</v>
      </c>
    </row>
    <row r="424" spans="1:6" s="537" customFormat="1">
      <c r="A424" s="532" t="s">
        <v>128</v>
      </c>
      <c r="B424" s="533">
        <v>3029</v>
      </c>
      <c r="C424" s="534" t="s">
        <v>664</v>
      </c>
      <c r="D424" s="535">
        <v>243</v>
      </c>
      <c r="E424" s="536" t="s">
        <v>128</v>
      </c>
      <c r="F424" s="536" t="s">
        <v>128</v>
      </c>
    </row>
    <row r="425" spans="1:6" s="537" customFormat="1">
      <c r="A425" s="532" t="s">
        <v>128</v>
      </c>
      <c r="B425" s="533">
        <v>3030</v>
      </c>
      <c r="C425" s="534" t="s">
        <v>669</v>
      </c>
      <c r="D425" s="535">
        <v>7000</v>
      </c>
      <c r="E425" s="536" t="s">
        <v>128</v>
      </c>
      <c r="F425" s="536" t="s">
        <v>128</v>
      </c>
    </row>
    <row r="426" spans="1:6" s="537" customFormat="1">
      <c r="A426" s="532" t="s">
        <v>128</v>
      </c>
      <c r="B426" s="533">
        <v>3040</v>
      </c>
      <c r="C426" s="534" t="s">
        <v>671</v>
      </c>
      <c r="D426" s="535">
        <v>400000</v>
      </c>
      <c r="E426" s="536" t="s">
        <v>128</v>
      </c>
      <c r="F426" s="536" t="s">
        <v>128</v>
      </c>
    </row>
    <row r="427" spans="1:6" s="537" customFormat="1">
      <c r="A427" s="532" t="s">
        <v>128</v>
      </c>
      <c r="B427" s="533">
        <v>4018</v>
      </c>
      <c r="C427" s="534" t="s">
        <v>188</v>
      </c>
      <c r="D427" s="535">
        <v>868839</v>
      </c>
      <c r="E427" s="536" t="s">
        <v>128</v>
      </c>
      <c r="F427" s="536" t="s">
        <v>128</v>
      </c>
    </row>
    <row r="428" spans="1:6" s="537" customFormat="1">
      <c r="A428" s="532" t="s">
        <v>128</v>
      </c>
      <c r="B428" s="533">
        <v>4019</v>
      </c>
      <c r="C428" s="534" t="s">
        <v>188</v>
      </c>
      <c r="D428" s="535">
        <v>221161</v>
      </c>
      <c r="E428" s="536" t="s">
        <v>128</v>
      </c>
      <c r="F428" s="536" t="s">
        <v>128</v>
      </c>
    </row>
    <row r="429" spans="1:6" s="537" customFormat="1">
      <c r="A429" s="532" t="s">
        <v>128</v>
      </c>
      <c r="B429" s="533">
        <v>4048</v>
      </c>
      <c r="C429" s="534" t="s">
        <v>189</v>
      </c>
      <c r="D429" s="535">
        <v>71739</v>
      </c>
      <c r="E429" s="536" t="s">
        <v>128</v>
      </c>
      <c r="F429" s="536" t="s">
        <v>128</v>
      </c>
    </row>
    <row r="430" spans="1:6" s="537" customFormat="1">
      <c r="A430" s="532" t="s">
        <v>128</v>
      </c>
      <c r="B430" s="533">
        <v>4049</v>
      </c>
      <c r="C430" s="534" t="s">
        <v>189</v>
      </c>
      <c r="D430" s="535">
        <v>18261</v>
      </c>
      <c r="E430" s="536" t="s">
        <v>128</v>
      </c>
      <c r="F430" s="536" t="s">
        <v>128</v>
      </c>
    </row>
    <row r="431" spans="1:6" s="537" customFormat="1">
      <c r="A431" s="532" t="s">
        <v>128</v>
      </c>
      <c r="B431" s="533">
        <v>4110</v>
      </c>
      <c r="C431" s="534" t="s">
        <v>190</v>
      </c>
      <c r="D431" s="535">
        <v>3000</v>
      </c>
      <c r="E431" s="536" t="s">
        <v>128</v>
      </c>
      <c r="F431" s="536" t="s">
        <v>128</v>
      </c>
    </row>
    <row r="432" spans="1:6" s="537" customFormat="1">
      <c r="A432" s="532" t="s">
        <v>128</v>
      </c>
      <c r="B432" s="533">
        <v>4118</v>
      </c>
      <c r="C432" s="534" t="s">
        <v>190</v>
      </c>
      <c r="D432" s="535">
        <v>159818</v>
      </c>
      <c r="E432" s="536" t="s">
        <v>128</v>
      </c>
      <c r="F432" s="536" t="s">
        <v>128</v>
      </c>
    </row>
    <row r="433" spans="1:6" s="537" customFormat="1">
      <c r="A433" s="532" t="s">
        <v>128</v>
      </c>
      <c r="B433" s="533">
        <v>4119</v>
      </c>
      <c r="C433" s="534" t="s">
        <v>190</v>
      </c>
      <c r="D433" s="535">
        <v>40682</v>
      </c>
      <c r="E433" s="536" t="s">
        <v>128</v>
      </c>
      <c r="F433" s="536" t="s">
        <v>128</v>
      </c>
    </row>
    <row r="434" spans="1:6" s="537" customFormat="1">
      <c r="A434" s="532" t="s">
        <v>128</v>
      </c>
      <c r="B434" s="533">
        <v>4120</v>
      </c>
      <c r="C434" s="534" t="s">
        <v>191</v>
      </c>
      <c r="D434" s="535">
        <v>400</v>
      </c>
      <c r="E434" s="536" t="s">
        <v>128</v>
      </c>
      <c r="F434" s="536" t="s">
        <v>128</v>
      </c>
    </row>
    <row r="435" spans="1:6" s="537" customFormat="1">
      <c r="A435" s="532" t="s">
        <v>128</v>
      </c>
      <c r="B435" s="533">
        <v>4128</v>
      </c>
      <c r="C435" s="534" t="s">
        <v>191</v>
      </c>
      <c r="D435" s="535">
        <v>17217</v>
      </c>
      <c r="E435" s="536" t="s">
        <v>128</v>
      </c>
      <c r="F435" s="536" t="s">
        <v>128</v>
      </c>
    </row>
    <row r="436" spans="1:6" s="537" customFormat="1">
      <c r="A436" s="532" t="s">
        <v>128</v>
      </c>
      <c r="B436" s="533">
        <v>4129</v>
      </c>
      <c r="C436" s="534" t="s">
        <v>191</v>
      </c>
      <c r="D436" s="535">
        <v>4383</v>
      </c>
      <c r="E436" s="536" t="s">
        <v>128</v>
      </c>
      <c r="F436" s="536" t="s">
        <v>128</v>
      </c>
    </row>
    <row r="437" spans="1:6" s="537" customFormat="1">
      <c r="A437" s="532" t="s">
        <v>128</v>
      </c>
      <c r="B437" s="533">
        <v>4170</v>
      </c>
      <c r="C437" s="534" t="s">
        <v>192</v>
      </c>
      <c r="D437" s="535">
        <v>40000</v>
      </c>
      <c r="E437" s="536" t="s">
        <v>128</v>
      </c>
      <c r="F437" s="536" t="s">
        <v>128</v>
      </c>
    </row>
    <row r="438" spans="1:6" s="537" customFormat="1">
      <c r="A438" s="532" t="s">
        <v>128</v>
      </c>
      <c r="B438" s="533">
        <v>4190</v>
      </c>
      <c r="C438" s="534" t="s">
        <v>193</v>
      </c>
      <c r="D438" s="535">
        <v>100000</v>
      </c>
      <c r="E438" s="536" t="s">
        <v>128</v>
      </c>
      <c r="F438" s="536" t="s">
        <v>128</v>
      </c>
    </row>
    <row r="439" spans="1:6" s="537" customFormat="1">
      <c r="A439" s="532" t="s">
        <v>128</v>
      </c>
      <c r="B439" s="533">
        <v>4210</v>
      </c>
      <c r="C439" s="534" t="s">
        <v>194</v>
      </c>
      <c r="D439" s="535">
        <v>493000</v>
      </c>
      <c r="E439" s="536" t="s">
        <v>128</v>
      </c>
      <c r="F439" s="536" t="s">
        <v>128</v>
      </c>
    </row>
    <row r="440" spans="1:6" s="537" customFormat="1">
      <c r="A440" s="532" t="s">
        <v>128</v>
      </c>
      <c r="B440" s="533">
        <v>4218</v>
      </c>
      <c r="C440" s="534" t="s">
        <v>194</v>
      </c>
      <c r="D440" s="535">
        <v>12355</v>
      </c>
      <c r="E440" s="536" t="s">
        <v>128</v>
      </c>
      <c r="F440" s="536" t="s">
        <v>128</v>
      </c>
    </row>
    <row r="441" spans="1:6" s="537" customFormat="1">
      <c r="A441" s="532" t="s">
        <v>128</v>
      </c>
      <c r="B441" s="533">
        <v>4219</v>
      </c>
      <c r="C441" s="534" t="s">
        <v>194</v>
      </c>
      <c r="D441" s="535">
        <v>3145</v>
      </c>
      <c r="E441" s="536" t="s">
        <v>128</v>
      </c>
      <c r="F441" s="536" t="s">
        <v>128</v>
      </c>
    </row>
    <row r="442" spans="1:6" s="537" customFormat="1">
      <c r="A442" s="532" t="s">
        <v>128</v>
      </c>
      <c r="B442" s="533">
        <v>4220</v>
      </c>
      <c r="C442" s="534" t="s">
        <v>195</v>
      </c>
      <c r="D442" s="535">
        <v>298700</v>
      </c>
      <c r="E442" s="536" t="s">
        <v>128</v>
      </c>
      <c r="F442" s="536" t="s">
        <v>128</v>
      </c>
    </row>
    <row r="443" spans="1:6" s="537" customFormat="1">
      <c r="A443" s="532" t="s">
        <v>128</v>
      </c>
      <c r="B443" s="533">
        <v>4228</v>
      </c>
      <c r="C443" s="534" t="s">
        <v>195</v>
      </c>
      <c r="D443" s="535">
        <v>3985</v>
      </c>
      <c r="E443" s="536" t="s">
        <v>128</v>
      </c>
      <c r="F443" s="536" t="s">
        <v>128</v>
      </c>
    </row>
    <row r="444" spans="1:6" s="537" customFormat="1">
      <c r="A444" s="532" t="s">
        <v>128</v>
      </c>
      <c r="B444" s="533">
        <v>4229</v>
      </c>
      <c r="C444" s="534" t="s">
        <v>195</v>
      </c>
      <c r="D444" s="535">
        <v>1015</v>
      </c>
      <c r="E444" s="536" t="s">
        <v>128</v>
      </c>
      <c r="F444" s="536" t="s">
        <v>128</v>
      </c>
    </row>
    <row r="445" spans="1:6" s="537" customFormat="1">
      <c r="A445" s="532" t="s">
        <v>128</v>
      </c>
      <c r="B445" s="533">
        <v>4268</v>
      </c>
      <c r="C445" s="534" t="s">
        <v>640</v>
      </c>
      <c r="D445" s="535">
        <v>32681</v>
      </c>
      <c r="E445" s="536" t="s">
        <v>128</v>
      </c>
      <c r="F445" s="536" t="s">
        <v>128</v>
      </c>
    </row>
    <row r="446" spans="1:6" s="537" customFormat="1">
      <c r="A446" s="532" t="s">
        <v>128</v>
      </c>
      <c r="B446" s="533">
        <v>4269</v>
      </c>
      <c r="C446" s="534" t="s">
        <v>640</v>
      </c>
      <c r="D446" s="535">
        <v>8319</v>
      </c>
      <c r="E446" s="536" t="s">
        <v>128</v>
      </c>
      <c r="F446" s="536" t="s">
        <v>128</v>
      </c>
    </row>
    <row r="447" spans="1:6" s="537" customFormat="1">
      <c r="A447" s="532" t="s">
        <v>128</v>
      </c>
      <c r="B447" s="533">
        <v>4278</v>
      </c>
      <c r="C447" s="534" t="s">
        <v>196</v>
      </c>
      <c r="D447" s="535">
        <v>2391</v>
      </c>
      <c r="E447" s="536" t="s">
        <v>128</v>
      </c>
      <c r="F447" s="536" t="s">
        <v>128</v>
      </c>
    </row>
    <row r="448" spans="1:6" s="537" customFormat="1">
      <c r="A448" s="532" t="s">
        <v>128</v>
      </c>
      <c r="B448" s="533">
        <v>4279</v>
      </c>
      <c r="C448" s="534" t="s">
        <v>196</v>
      </c>
      <c r="D448" s="535">
        <v>609</v>
      </c>
      <c r="E448" s="536" t="s">
        <v>128</v>
      </c>
      <c r="F448" s="536" t="s">
        <v>128</v>
      </c>
    </row>
    <row r="449" spans="1:6" s="537" customFormat="1">
      <c r="A449" s="532" t="s">
        <v>128</v>
      </c>
      <c r="B449" s="533">
        <v>4288</v>
      </c>
      <c r="C449" s="534" t="s">
        <v>666</v>
      </c>
      <c r="D449" s="535">
        <v>399</v>
      </c>
      <c r="E449" s="536" t="s">
        <v>128</v>
      </c>
      <c r="F449" s="536" t="s">
        <v>128</v>
      </c>
    </row>
    <row r="450" spans="1:6" s="537" customFormat="1">
      <c r="A450" s="532" t="s">
        <v>128</v>
      </c>
      <c r="B450" s="533">
        <v>4289</v>
      </c>
      <c r="C450" s="534" t="s">
        <v>666</v>
      </c>
      <c r="D450" s="535">
        <v>101</v>
      </c>
      <c r="E450" s="536" t="s">
        <v>128</v>
      </c>
      <c r="F450" s="536" t="s">
        <v>128</v>
      </c>
    </row>
    <row r="451" spans="1:6" s="537" customFormat="1">
      <c r="A451" s="532" t="s">
        <v>128</v>
      </c>
      <c r="B451" s="533">
        <v>4300</v>
      </c>
      <c r="C451" s="534" t="s">
        <v>197</v>
      </c>
      <c r="D451" s="535">
        <v>5209170</v>
      </c>
      <c r="E451" s="536" t="s">
        <v>128</v>
      </c>
      <c r="F451" s="536" t="s">
        <v>128</v>
      </c>
    </row>
    <row r="452" spans="1:6" s="537" customFormat="1">
      <c r="A452" s="532" t="s">
        <v>128</v>
      </c>
      <c r="B452" s="533">
        <v>4308</v>
      </c>
      <c r="C452" s="534" t="s">
        <v>197</v>
      </c>
      <c r="D452" s="535">
        <v>27739</v>
      </c>
      <c r="E452" s="536" t="s">
        <v>128</v>
      </c>
      <c r="F452" s="536" t="s">
        <v>128</v>
      </c>
    </row>
    <row r="453" spans="1:6" s="537" customFormat="1">
      <c r="A453" s="532" t="s">
        <v>128</v>
      </c>
      <c r="B453" s="533">
        <v>4309</v>
      </c>
      <c r="C453" s="534" t="s">
        <v>197</v>
      </c>
      <c r="D453" s="535">
        <v>7061</v>
      </c>
      <c r="E453" s="536" t="s">
        <v>128</v>
      </c>
      <c r="F453" s="536" t="s">
        <v>128</v>
      </c>
    </row>
    <row r="454" spans="1:6" s="537" customFormat="1">
      <c r="A454" s="532" t="s">
        <v>128</v>
      </c>
      <c r="B454" s="533">
        <v>4368</v>
      </c>
      <c r="C454" s="534" t="s">
        <v>641</v>
      </c>
      <c r="D454" s="535">
        <v>11558</v>
      </c>
      <c r="E454" s="536" t="s">
        <v>128</v>
      </c>
      <c r="F454" s="536" t="s">
        <v>128</v>
      </c>
    </row>
    <row r="455" spans="1:6" s="537" customFormat="1">
      <c r="A455" s="532" t="s">
        <v>128</v>
      </c>
      <c r="B455" s="533">
        <v>4369</v>
      </c>
      <c r="C455" s="534" t="s">
        <v>641</v>
      </c>
      <c r="D455" s="535">
        <v>2942</v>
      </c>
      <c r="E455" s="536" t="s">
        <v>128</v>
      </c>
      <c r="F455" s="536" t="s">
        <v>128</v>
      </c>
    </row>
    <row r="456" spans="1:6" s="537" customFormat="1">
      <c r="A456" s="532" t="s">
        <v>128</v>
      </c>
      <c r="B456" s="533">
        <v>4380</v>
      </c>
      <c r="C456" s="534" t="s">
        <v>642</v>
      </c>
      <c r="D456" s="535">
        <v>45600</v>
      </c>
      <c r="E456" s="536" t="s">
        <v>128</v>
      </c>
      <c r="F456" s="536" t="s">
        <v>128</v>
      </c>
    </row>
    <row r="457" spans="1:6" s="537" customFormat="1">
      <c r="A457" s="532" t="s">
        <v>128</v>
      </c>
      <c r="B457" s="533">
        <v>4388</v>
      </c>
      <c r="C457" s="534" t="s">
        <v>642</v>
      </c>
      <c r="D457" s="535">
        <v>399</v>
      </c>
      <c r="E457" s="536" t="s">
        <v>128</v>
      </c>
      <c r="F457" s="536" t="s">
        <v>128</v>
      </c>
    </row>
    <row r="458" spans="1:6" s="537" customFormat="1">
      <c r="A458" s="532" t="s">
        <v>128</v>
      </c>
      <c r="B458" s="533">
        <v>4389</v>
      </c>
      <c r="C458" s="534" t="s">
        <v>642</v>
      </c>
      <c r="D458" s="535">
        <v>101</v>
      </c>
      <c r="E458" s="536" t="s">
        <v>128</v>
      </c>
      <c r="F458" s="536" t="s">
        <v>128</v>
      </c>
    </row>
    <row r="459" spans="1:6" s="537" customFormat="1">
      <c r="A459" s="532" t="s">
        <v>128</v>
      </c>
      <c r="B459" s="533">
        <v>4408</v>
      </c>
      <c r="C459" s="534" t="s">
        <v>643</v>
      </c>
      <c r="D459" s="535">
        <v>23913</v>
      </c>
      <c r="E459" s="536" t="s">
        <v>128</v>
      </c>
      <c r="F459" s="536" t="s">
        <v>128</v>
      </c>
    </row>
    <row r="460" spans="1:6" s="537" customFormat="1">
      <c r="A460" s="532" t="s">
        <v>128</v>
      </c>
      <c r="B460" s="533">
        <v>4409</v>
      </c>
      <c r="C460" s="534" t="s">
        <v>643</v>
      </c>
      <c r="D460" s="535">
        <v>6087</v>
      </c>
      <c r="E460" s="536" t="s">
        <v>128</v>
      </c>
      <c r="F460" s="536" t="s">
        <v>128</v>
      </c>
    </row>
    <row r="461" spans="1:6" s="537" customFormat="1">
      <c r="A461" s="532" t="s">
        <v>128</v>
      </c>
      <c r="B461" s="533">
        <v>4410</v>
      </c>
      <c r="C461" s="534" t="s">
        <v>198</v>
      </c>
      <c r="D461" s="535">
        <v>5000</v>
      </c>
      <c r="E461" s="536" t="s">
        <v>128</v>
      </c>
      <c r="F461" s="536" t="s">
        <v>128</v>
      </c>
    </row>
    <row r="462" spans="1:6" s="537" customFormat="1">
      <c r="A462" s="532" t="s">
        <v>128</v>
      </c>
      <c r="B462" s="533">
        <v>4418</v>
      </c>
      <c r="C462" s="534" t="s">
        <v>198</v>
      </c>
      <c r="D462" s="535">
        <v>4783</v>
      </c>
      <c r="E462" s="536" t="s">
        <v>128</v>
      </c>
      <c r="F462" s="536" t="s">
        <v>128</v>
      </c>
    </row>
    <row r="463" spans="1:6" s="537" customFormat="1">
      <c r="A463" s="532" t="s">
        <v>128</v>
      </c>
      <c r="B463" s="533">
        <v>4419</v>
      </c>
      <c r="C463" s="534" t="s">
        <v>198</v>
      </c>
      <c r="D463" s="535">
        <v>1217</v>
      </c>
      <c r="E463" s="536" t="s">
        <v>128</v>
      </c>
      <c r="F463" s="536" t="s">
        <v>128</v>
      </c>
    </row>
    <row r="464" spans="1:6" s="537" customFormat="1">
      <c r="A464" s="532" t="s">
        <v>128</v>
      </c>
      <c r="B464" s="533">
        <v>4430</v>
      </c>
      <c r="C464" s="534" t="s">
        <v>645</v>
      </c>
      <c r="D464" s="535">
        <v>128200</v>
      </c>
      <c r="E464" s="536" t="s">
        <v>128</v>
      </c>
      <c r="F464" s="536" t="s">
        <v>128</v>
      </c>
    </row>
    <row r="465" spans="1:6" s="537" customFormat="1" ht="12.75" customHeight="1">
      <c r="A465" s="532" t="s">
        <v>128</v>
      </c>
      <c r="B465" s="533">
        <v>4530</v>
      </c>
      <c r="C465" s="534" t="s">
        <v>663</v>
      </c>
      <c r="D465" s="535">
        <v>10000</v>
      </c>
      <c r="E465" s="536" t="s">
        <v>128</v>
      </c>
      <c r="F465" s="536" t="s">
        <v>128</v>
      </c>
    </row>
    <row r="466" spans="1:6" s="537" customFormat="1" ht="12.75" customHeight="1">
      <c r="A466" s="532" t="s">
        <v>128</v>
      </c>
      <c r="B466" s="533">
        <v>4540</v>
      </c>
      <c r="C466" s="534" t="s">
        <v>661</v>
      </c>
      <c r="D466" s="535">
        <v>9000</v>
      </c>
      <c r="E466" s="536" t="s">
        <v>128</v>
      </c>
      <c r="F466" s="536" t="s">
        <v>128</v>
      </c>
    </row>
    <row r="467" spans="1:6" s="537" customFormat="1" ht="12.75" customHeight="1">
      <c r="A467" s="532" t="s">
        <v>128</v>
      </c>
      <c r="B467" s="533">
        <v>4708</v>
      </c>
      <c r="C467" s="534" t="s">
        <v>646</v>
      </c>
      <c r="D467" s="535">
        <v>2391</v>
      </c>
      <c r="E467" s="536" t="s">
        <v>128</v>
      </c>
      <c r="F467" s="536" t="s">
        <v>128</v>
      </c>
    </row>
    <row r="468" spans="1:6" s="537" customFormat="1" ht="12.75" customHeight="1">
      <c r="A468" s="532" t="s">
        <v>128</v>
      </c>
      <c r="B468" s="533">
        <v>4709</v>
      </c>
      <c r="C468" s="534" t="s">
        <v>646</v>
      </c>
      <c r="D468" s="535">
        <v>609</v>
      </c>
      <c r="E468" s="536" t="s">
        <v>128</v>
      </c>
      <c r="F468" s="536" t="s">
        <v>128</v>
      </c>
    </row>
    <row r="469" spans="1:6" s="537" customFormat="1">
      <c r="A469" s="542" t="s">
        <v>128</v>
      </c>
      <c r="B469" s="543">
        <v>4718</v>
      </c>
      <c r="C469" s="544" t="s">
        <v>204</v>
      </c>
      <c r="D469" s="545">
        <v>2312</v>
      </c>
      <c r="E469" s="536" t="s">
        <v>128</v>
      </c>
      <c r="F469" s="536" t="s">
        <v>128</v>
      </c>
    </row>
    <row r="470" spans="1:6" s="537" customFormat="1" ht="12.75" customHeight="1">
      <c r="A470" s="554" t="s">
        <v>128</v>
      </c>
      <c r="B470" s="555">
        <v>4719</v>
      </c>
      <c r="C470" s="556" t="s">
        <v>204</v>
      </c>
      <c r="D470" s="557">
        <v>588</v>
      </c>
      <c r="E470" s="536" t="s">
        <v>128</v>
      </c>
      <c r="F470" s="536" t="s">
        <v>128</v>
      </c>
    </row>
    <row r="471" spans="1:6" s="527" customFormat="1">
      <c r="A471" s="522">
        <v>752</v>
      </c>
      <c r="B471" s="523" t="s">
        <v>128</v>
      </c>
      <c r="C471" s="524" t="s">
        <v>32</v>
      </c>
      <c r="D471" s="525">
        <f>D472</f>
        <v>5000</v>
      </c>
      <c r="E471" s="526" t="s">
        <v>128</v>
      </c>
      <c r="F471" s="526" t="s">
        <v>128</v>
      </c>
    </row>
    <row r="472" spans="1:6" s="527" customFormat="1" ht="15.75" customHeight="1">
      <c r="A472" s="528">
        <v>75212</v>
      </c>
      <c r="B472" s="529" t="s">
        <v>128</v>
      </c>
      <c r="C472" s="530" t="s">
        <v>59</v>
      </c>
      <c r="D472" s="531">
        <f>D473+D474</f>
        <v>5000</v>
      </c>
      <c r="E472" s="526" t="s">
        <v>128</v>
      </c>
      <c r="F472" s="526" t="s">
        <v>128</v>
      </c>
    </row>
    <row r="473" spans="1:6" s="537" customFormat="1">
      <c r="A473" s="532" t="s">
        <v>128</v>
      </c>
      <c r="B473" s="533">
        <v>4210</v>
      </c>
      <c r="C473" s="534" t="s">
        <v>194</v>
      </c>
      <c r="D473" s="535">
        <v>1500</v>
      </c>
      <c r="E473" s="536" t="s">
        <v>128</v>
      </c>
      <c r="F473" s="536" t="s">
        <v>128</v>
      </c>
    </row>
    <row r="474" spans="1:6" s="537" customFormat="1" ht="12.75" customHeight="1">
      <c r="A474" s="532" t="s">
        <v>128</v>
      </c>
      <c r="B474" s="533">
        <v>4300</v>
      </c>
      <c r="C474" s="534" t="s">
        <v>197</v>
      </c>
      <c r="D474" s="535">
        <v>3500</v>
      </c>
      <c r="E474" s="536" t="s">
        <v>128</v>
      </c>
      <c r="F474" s="536" t="s">
        <v>128</v>
      </c>
    </row>
    <row r="475" spans="1:6" s="527" customFormat="1">
      <c r="A475" s="522">
        <v>754</v>
      </c>
      <c r="B475" s="523" t="s">
        <v>128</v>
      </c>
      <c r="C475" s="524" t="s">
        <v>361</v>
      </c>
      <c r="D475" s="525">
        <f>D476</f>
        <v>240000</v>
      </c>
      <c r="E475" s="526" t="s">
        <v>128</v>
      </c>
      <c r="F475" s="526" t="s">
        <v>128</v>
      </c>
    </row>
    <row r="476" spans="1:6" s="527" customFormat="1">
      <c r="A476" s="528">
        <v>75495</v>
      </c>
      <c r="B476" s="529" t="s">
        <v>128</v>
      </c>
      <c r="C476" s="530" t="s">
        <v>46</v>
      </c>
      <c r="D476" s="531">
        <f>SUM(D477:D480)</f>
        <v>240000</v>
      </c>
      <c r="E476" s="526" t="s">
        <v>128</v>
      </c>
      <c r="F476" s="526" t="s">
        <v>128</v>
      </c>
    </row>
    <row r="477" spans="1:6" s="537" customFormat="1">
      <c r="A477" s="532" t="s">
        <v>128</v>
      </c>
      <c r="B477" s="533">
        <v>4190</v>
      </c>
      <c r="C477" s="534" t="s">
        <v>193</v>
      </c>
      <c r="D477" s="535">
        <v>7000</v>
      </c>
      <c r="E477" s="536" t="s">
        <v>128</v>
      </c>
      <c r="F477" s="536" t="s">
        <v>128</v>
      </c>
    </row>
    <row r="478" spans="1:6" s="537" customFormat="1">
      <c r="A478" s="532" t="s">
        <v>128</v>
      </c>
      <c r="B478" s="533">
        <v>4210</v>
      </c>
      <c r="C478" s="534" t="s">
        <v>194</v>
      </c>
      <c r="D478" s="535">
        <v>15000</v>
      </c>
      <c r="E478" s="536" t="s">
        <v>128</v>
      </c>
      <c r="F478" s="536" t="s">
        <v>128</v>
      </c>
    </row>
    <row r="479" spans="1:6" s="537" customFormat="1">
      <c r="A479" s="532" t="s">
        <v>128</v>
      </c>
      <c r="B479" s="533">
        <v>4300</v>
      </c>
      <c r="C479" s="534" t="s">
        <v>197</v>
      </c>
      <c r="D479" s="535">
        <v>158000</v>
      </c>
      <c r="E479" s="536" t="s">
        <v>128</v>
      </c>
      <c r="F479" s="536" t="s">
        <v>128</v>
      </c>
    </row>
    <row r="480" spans="1:6" s="537" customFormat="1" ht="12.75" customHeight="1">
      <c r="A480" s="532" t="s">
        <v>128</v>
      </c>
      <c r="B480" s="533">
        <v>4430</v>
      </c>
      <c r="C480" s="534" t="s">
        <v>645</v>
      </c>
      <c r="D480" s="535">
        <v>60000</v>
      </c>
      <c r="E480" s="536" t="s">
        <v>128</v>
      </c>
      <c r="F480" s="536" t="s">
        <v>128</v>
      </c>
    </row>
    <row r="481" spans="1:6" s="527" customFormat="1">
      <c r="A481" s="522">
        <v>757</v>
      </c>
      <c r="B481" s="523" t="s">
        <v>128</v>
      </c>
      <c r="C481" s="524" t="s">
        <v>364</v>
      </c>
      <c r="D481" s="525">
        <f>D482+D484</f>
        <v>71633158</v>
      </c>
      <c r="E481" s="526" t="s">
        <v>128</v>
      </c>
      <c r="F481" s="526" t="s">
        <v>128</v>
      </c>
    </row>
    <row r="482" spans="1:6" s="497" customFormat="1" ht="27.75" customHeight="1">
      <c r="A482" s="498">
        <v>75702</v>
      </c>
      <c r="B482" s="499" t="s">
        <v>128</v>
      </c>
      <c r="C482" s="500" t="s">
        <v>673</v>
      </c>
      <c r="D482" s="501">
        <f>D483</f>
        <v>14724772</v>
      </c>
      <c r="E482" s="496" t="s">
        <v>128</v>
      </c>
      <c r="F482" s="496" t="s">
        <v>128</v>
      </c>
    </row>
    <row r="483" spans="1:6" s="507" customFormat="1" ht="28.5" customHeight="1">
      <c r="A483" s="502" t="s">
        <v>128</v>
      </c>
      <c r="B483" s="503">
        <v>8110</v>
      </c>
      <c r="C483" s="504" t="s">
        <v>674</v>
      </c>
      <c r="D483" s="505">
        <v>14724772</v>
      </c>
      <c r="E483" s="506" t="s">
        <v>128</v>
      </c>
      <c r="F483" s="506" t="s">
        <v>128</v>
      </c>
    </row>
    <row r="484" spans="1:6" s="497" customFormat="1" ht="28.5" customHeight="1">
      <c r="A484" s="498">
        <v>75704</v>
      </c>
      <c r="B484" s="499" t="s">
        <v>128</v>
      </c>
      <c r="C484" s="500" t="s">
        <v>368</v>
      </c>
      <c r="D484" s="501">
        <f>D485+D486</f>
        <v>56908386</v>
      </c>
      <c r="E484" s="496" t="s">
        <v>128</v>
      </c>
      <c r="F484" s="496" t="s">
        <v>128</v>
      </c>
    </row>
    <row r="485" spans="1:6" s="537" customFormat="1">
      <c r="A485" s="532" t="s">
        <v>128</v>
      </c>
      <c r="B485" s="533">
        <v>8020</v>
      </c>
      <c r="C485" s="534" t="s">
        <v>675</v>
      </c>
      <c r="D485" s="535">
        <v>55562136</v>
      </c>
      <c r="E485" s="536" t="s">
        <v>128</v>
      </c>
      <c r="F485" s="536" t="s">
        <v>128</v>
      </c>
    </row>
    <row r="486" spans="1:6" s="537" customFormat="1" ht="12.75" customHeight="1">
      <c r="A486" s="532" t="s">
        <v>128</v>
      </c>
      <c r="B486" s="533">
        <v>8030</v>
      </c>
      <c r="C486" s="534" t="s">
        <v>676</v>
      </c>
      <c r="D486" s="535">
        <v>1346250</v>
      </c>
      <c r="E486" s="536" t="s">
        <v>128</v>
      </c>
      <c r="F486" s="536" t="s">
        <v>128</v>
      </c>
    </row>
    <row r="487" spans="1:6" s="527" customFormat="1">
      <c r="A487" s="522">
        <v>758</v>
      </c>
      <c r="B487" s="523" t="s">
        <v>128</v>
      </c>
      <c r="C487" s="524" t="s">
        <v>75</v>
      </c>
      <c r="D487" s="525">
        <f>D488</f>
        <v>68200000</v>
      </c>
      <c r="E487" s="526" t="s">
        <v>128</v>
      </c>
      <c r="F487" s="526" t="s">
        <v>128</v>
      </c>
    </row>
    <row r="488" spans="1:6" s="527" customFormat="1">
      <c r="A488" s="528">
        <v>75818</v>
      </c>
      <c r="B488" s="529" t="s">
        <v>128</v>
      </c>
      <c r="C488" s="530" t="s">
        <v>370</v>
      </c>
      <c r="D488" s="531">
        <f>D489+D490</f>
        <v>68200000</v>
      </c>
      <c r="E488" s="526" t="s">
        <v>128</v>
      </c>
      <c r="F488" s="526" t="s">
        <v>128</v>
      </c>
    </row>
    <row r="489" spans="1:6" s="537" customFormat="1">
      <c r="A489" s="532" t="s">
        <v>128</v>
      </c>
      <c r="B489" s="533">
        <v>4810</v>
      </c>
      <c r="C489" s="534" t="s">
        <v>677</v>
      </c>
      <c r="D489" s="535">
        <v>55200000</v>
      </c>
      <c r="E489" s="536" t="s">
        <v>128</v>
      </c>
      <c r="F489" s="536" t="s">
        <v>128</v>
      </c>
    </row>
    <row r="490" spans="1:6" s="537" customFormat="1" ht="12.75" customHeight="1">
      <c r="A490" s="532" t="s">
        <v>128</v>
      </c>
      <c r="B490" s="533">
        <v>6800</v>
      </c>
      <c r="C490" s="534" t="s">
        <v>678</v>
      </c>
      <c r="D490" s="535">
        <v>13000000</v>
      </c>
      <c r="E490" s="536" t="s">
        <v>128</v>
      </c>
      <c r="F490" s="536" t="s">
        <v>128</v>
      </c>
    </row>
    <row r="491" spans="1:6" s="527" customFormat="1">
      <c r="A491" s="522">
        <v>801</v>
      </c>
      <c r="B491" s="523" t="s">
        <v>128</v>
      </c>
      <c r="C491" s="524" t="s">
        <v>34</v>
      </c>
      <c r="D491" s="525">
        <f>D492+D515+D518+D533+D535+D558+D576+D597+D618+D642+D666+D684</f>
        <v>121094056</v>
      </c>
      <c r="E491" s="526" t="s">
        <v>128</v>
      </c>
      <c r="F491" s="526" t="s">
        <v>128</v>
      </c>
    </row>
    <row r="492" spans="1:6" s="527" customFormat="1">
      <c r="A492" s="528">
        <v>80102</v>
      </c>
      <c r="B492" s="529" t="s">
        <v>128</v>
      </c>
      <c r="C492" s="530" t="s">
        <v>76</v>
      </c>
      <c r="D492" s="531">
        <f>SUM(D493:D514)</f>
        <v>32542162</v>
      </c>
      <c r="E492" s="526" t="s">
        <v>128</v>
      </c>
      <c r="F492" s="526" t="s">
        <v>128</v>
      </c>
    </row>
    <row r="493" spans="1:6" s="537" customFormat="1">
      <c r="A493" s="532" t="s">
        <v>128</v>
      </c>
      <c r="B493" s="533">
        <v>3020</v>
      </c>
      <c r="C493" s="534" t="s">
        <v>664</v>
      </c>
      <c r="D493" s="535">
        <v>27556</v>
      </c>
      <c r="E493" s="536" t="s">
        <v>128</v>
      </c>
      <c r="F493" s="536" t="s">
        <v>128</v>
      </c>
    </row>
    <row r="494" spans="1:6" s="537" customFormat="1">
      <c r="A494" s="532" t="s">
        <v>128</v>
      </c>
      <c r="B494" s="533">
        <v>4010</v>
      </c>
      <c r="C494" s="534" t="s">
        <v>188</v>
      </c>
      <c r="D494" s="535">
        <v>1613426</v>
      </c>
      <c r="E494" s="536" t="s">
        <v>128</v>
      </c>
      <c r="F494" s="536" t="s">
        <v>128</v>
      </c>
    </row>
    <row r="495" spans="1:6" s="537" customFormat="1">
      <c r="A495" s="532" t="s">
        <v>128</v>
      </c>
      <c r="B495" s="533">
        <v>4040</v>
      </c>
      <c r="C495" s="534" t="s">
        <v>189</v>
      </c>
      <c r="D495" s="535">
        <v>111850</v>
      </c>
      <c r="E495" s="536" t="s">
        <v>128</v>
      </c>
      <c r="F495" s="536" t="s">
        <v>128</v>
      </c>
    </row>
    <row r="496" spans="1:6" s="537" customFormat="1">
      <c r="A496" s="532" t="s">
        <v>128</v>
      </c>
      <c r="B496" s="533">
        <v>4110</v>
      </c>
      <c r="C496" s="534" t="s">
        <v>190</v>
      </c>
      <c r="D496" s="535">
        <v>4315176</v>
      </c>
      <c r="E496" s="536" t="s">
        <v>128</v>
      </c>
      <c r="F496" s="536" t="s">
        <v>128</v>
      </c>
    </row>
    <row r="497" spans="1:6" s="537" customFormat="1">
      <c r="A497" s="532" t="s">
        <v>128</v>
      </c>
      <c r="B497" s="533">
        <v>4120</v>
      </c>
      <c r="C497" s="534" t="s">
        <v>191</v>
      </c>
      <c r="D497" s="535">
        <v>534386</v>
      </c>
      <c r="E497" s="536" t="s">
        <v>128</v>
      </c>
      <c r="F497" s="536" t="s">
        <v>128</v>
      </c>
    </row>
    <row r="498" spans="1:6" s="537" customFormat="1">
      <c r="A498" s="532" t="s">
        <v>128</v>
      </c>
      <c r="B498" s="533">
        <v>4140</v>
      </c>
      <c r="C498" s="534" t="s">
        <v>665</v>
      </c>
      <c r="D498" s="535">
        <v>34800</v>
      </c>
      <c r="E498" s="536" t="s">
        <v>128</v>
      </c>
      <c r="F498" s="536" t="s">
        <v>128</v>
      </c>
    </row>
    <row r="499" spans="1:6" s="537" customFormat="1">
      <c r="A499" s="532" t="s">
        <v>128</v>
      </c>
      <c r="B499" s="533">
        <v>4170</v>
      </c>
      <c r="C499" s="534" t="s">
        <v>192</v>
      </c>
      <c r="D499" s="535">
        <v>21800</v>
      </c>
      <c r="E499" s="536" t="s">
        <v>128</v>
      </c>
      <c r="F499" s="536" t="s">
        <v>128</v>
      </c>
    </row>
    <row r="500" spans="1:6" s="537" customFormat="1">
      <c r="A500" s="532" t="s">
        <v>128</v>
      </c>
      <c r="B500" s="533">
        <v>4210</v>
      </c>
      <c r="C500" s="534" t="s">
        <v>194</v>
      </c>
      <c r="D500" s="535">
        <v>121880</v>
      </c>
      <c r="E500" s="536" t="s">
        <v>128</v>
      </c>
      <c r="F500" s="536" t="s">
        <v>128</v>
      </c>
    </row>
    <row r="501" spans="1:6" s="537" customFormat="1">
      <c r="A501" s="532" t="s">
        <v>128</v>
      </c>
      <c r="B501" s="533">
        <v>4240</v>
      </c>
      <c r="C501" s="534" t="s">
        <v>679</v>
      </c>
      <c r="D501" s="535">
        <v>74301</v>
      </c>
      <c r="E501" s="536" t="s">
        <v>128</v>
      </c>
      <c r="F501" s="536" t="s">
        <v>128</v>
      </c>
    </row>
    <row r="502" spans="1:6" s="537" customFormat="1">
      <c r="A502" s="532" t="s">
        <v>128</v>
      </c>
      <c r="B502" s="533">
        <v>4260</v>
      </c>
      <c r="C502" s="534" t="s">
        <v>640</v>
      </c>
      <c r="D502" s="535">
        <v>569621</v>
      </c>
      <c r="E502" s="536" t="s">
        <v>128</v>
      </c>
      <c r="F502" s="536" t="s">
        <v>128</v>
      </c>
    </row>
    <row r="503" spans="1:6" s="537" customFormat="1">
      <c r="A503" s="532" t="s">
        <v>128</v>
      </c>
      <c r="B503" s="533">
        <v>4270</v>
      </c>
      <c r="C503" s="534" t="s">
        <v>196</v>
      </c>
      <c r="D503" s="535">
        <v>20160</v>
      </c>
      <c r="E503" s="536" t="s">
        <v>128</v>
      </c>
      <c r="F503" s="536" t="s">
        <v>128</v>
      </c>
    </row>
    <row r="504" spans="1:6" s="537" customFormat="1">
      <c r="A504" s="532" t="s">
        <v>128</v>
      </c>
      <c r="B504" s="533">
        <v>4280</v>
      </c>
      <c r="C504" s="534" t="s">
        <v>666</v>
      </c>
      <c r="D504" s="535">
        <v>15690</v>
      </c>
      <c r="E504" s="536" t="s">
        <v>128</v>
      </c>
      <c r="F504" s="536" t="s">
        <v>128</v>
      </c>
    </row>
    <row r="505" spans="1:6" s="537" customFormat="1">
      <c r="A505" s="532" t="s">
        <v>128</v>
      </c>
      <c r="B505" s="533">
        <v>4300</v>
      </c>
      <c r="C505" s="534" t="s">
        <v>197</v>
      </c>
      <c r="D505" s="535">
        <v>192727</v>
      </c>
      <c r="E505" s="536" t="s">
        <v>128</v>
      </c>
      <c r="F505" s="536" t="s">
        <v>128</v>
      </c>
    </row>
    <row r="506" spans="1:6" s="537" customFormat="1">
      <c r="A506" s="532" t="s">
        <v>128</v>
      </c>
      <c r="B506" s="533">
        <v>4360</v>
      </c>
      <c r="C506" s="534" t="s">
        <v>641</v>
      </c>
      <c r="D506" s="535">
        <v>18801</v>
      </c>
      <c r="E506" s="536" t="s">
        <v>128</v>
      </c>
      <c r="F506" s="536" t="s">
        <v>128</v>
      </c>
    </row>
    <row r="507" spans="1:6" s="537" customFormat="1">
      <c r="A507" s="532" t="s">
        <v>128</v>
      </c>
      <c r="B507" s="533">
        <v>4410</v>
      </c>
      <c r="C507" s="534" t="s">
        <v>198</v>
      </c>
      <c r="D507" s="535">
        <v>32400</v>
      </c>
      <c r="E507" s="536" t="s">
        <v>128</v>
      </c>
      <c r="F507" s="536" t="s">
        <v>128</v>
      </c>
    </row>
    <row r="508" spans="1:6" s="537" customFormat="1">
      <c r="A508" s="532" t="s">
        <v>128</v>
      </c>
      <c r="B508" s="533">
        <v>4430</v>
      </c>
      <c r="C508" s="534" t="s">
        <v>645</v>
      </c>
      <c r="D508" s="535">
        <v>12050</v>
      </c>
      <c r="E508" s="536" t="s">
        <v>128</v>
      </c>
      <c r="F508" s="536" t="s">
        <v>128</v>
      </c>
    </row>
    <row r="509" spans="1:6" s="537" customFormat="1">
      <c r="A509" s="532" t="s">
        <v>128</v>
      </c>
      <c r="B509" s="533">
        <v>4440</v>
      </c>
      <c r="C509" s="534" t="s">
        <v>667</v>
      </c>
      <c r="D509" s="535">
        <v>842681</v>
      </c>
      <c r="E509" s="536" t="s">
        <v>128</v>
      </c>
      <c r="F509" s="536" t="s">
        <v>128</v>
      </c>
    </row>
    <row r="510" spans="1:6" s="537" customFormat="1">
      <c r="A510" s="532" t="s">
        <v>128</v>
      </c>
      <c r="B510" s="533">
        <v>4520</v>
      </c>
      <c r="C510" s="534" t="s">
        <v>656</v>
      </c>
      <c r="D510" s="535">
        <v>720</v>
      </c>
      <c r="E510" s="536" t="s">
        <v>128</v>
      </c>
      <c r="F510" s="536" t="s">
        <v>128</v>
      </c>
    </row>
    <row r="511" spans="1:6" s="537" customFormat="1">
      <c r="A511" s="532" t="s">
        <v>128</v>
      </c>
      <c r="B511" s="533">
        <v>4700</v>
      </c>
      <c r="C511" s="534" t="s">
        <v>646</v>
      </c>
      <c r="D511" s="535">
        <v>12750</v>
      </c>
      <c r="E511" s="536" t="s">
        <v>128</v>
      </c>
      <c r="F511" s="536" t="s">
        <v>128</v>
      </c>
    </row>
    <row r="512" spans="1:6" s="537" customFormat="1">
      <c r="A512" s="532" t="s">
        <v>128</v>
      </c>
      <c r="B512" s="533">
        <v>4710</v>
      </c>
      <c r="C512" s="534" t="s">
        <v>204</v>
      </c>
      <c r="D512" s="535">
        <v>139955</v>
      </c>
      <c r="E512" s="536" t="s">
        <v>128</v>
      </c>
      <c r="F512" s="536" t="s">
        <v>128</v>
      </c>
    </row>
    <row r="513" spans="1:6" s="537" customFormat="1">
      <c r="A513" s="532" t="s">
        <v>128</v>
      </c>
      <c r="B513" s="533">
        <v>4790</v>
      </c>
      <c r="C513" s="534" t="s">
        <v>680</v>
      </c>
      <c r="D513" s="535">
        <v>22376328</v>
      </c>
      <c r="E513" s="536" t="s">
        <v>128</v>
      </c>
      <c r="F513" s="536" t="s">
        <v>128</v>
      </c>
    </row>
    <row r="514" spans="1:6" s="537" customFormat="1">
      <c r="A514" s="532" t="s">
        <v>128</v>
      </c>
      <c r="B514" s="533">
        <v>4800</v>
      </c>
      <c r="C514" s="534" t="s">
        <v>681</v>
      </c>
      <c r="D514" s="535">
        <v>1453104</v>
      </c>
      <c r="E514" s="536" t="s">
        <v>128</v>
      </c>
      <c r="F514" s="536" t="s">
        <v>128</v>
      </c>
    </row>
    <row r="515" spans="1:6" s="527" customFormat="1">
      <c r="A515" s="528">
        <v>80104</v>
      </c>
      <c r="B515" s="529" t="s">
        <v>128</v>
      </c>
      <c r="C515" s="530" t="s">
        <v>682</v>
      </c>
      <c r="D515" s="531">
        <f>D516+D517</f>
        <v>292784</v>
      </c>
      <c r="E515" s="526" t="s">
        <v>128</v>
      </c>
      <c r="F515" s="526" t="s">
        <v>128</v>
      </c>
    </row>
    <row r="516" spans="1:6" s="507" customFormat="1" ht="41.25" customHeight="1">
      <c r="A516" s="502" t="s">
        <v>128</v>
      </c>
      <c r="B516" s="503">
        <v>2059</v>
      </c>
      <c r="C516" s="504" t="s">
        <v>672</v>
      </c>
      <c r="D516" s="505">
        <v>170710</v>
      </c>
      <c r="E516" s="506" t="s">
        <v>128</v>
      </c>
      <c r="F516" s="506" t="s">
        <v>128</v>
      </c>
    </row>
    <row r="517" spans="1:6" s="507" customFormat="1" ht="41.25" customHeight="1">
      <c r="A517" s="502" t="s">
        <v>128</v>
      </c>
      <c r="B517" s="503">
        <v>6259</v>
      </c>
      <c r="C517" s="504" t="s">
        <v>131</v>
      </c>
      <c r="D517" s="505">
        <v>122074</v>
      </c>
      <c r="E517" s="506" t="s">
        <v>128</v>
      </c>
      <c r="F517" s="506" t="s">
        <v>128</v>
      </c>
    </row>
    <row r="518" spans="1:6" s="527" customFormat="1">
      <c r="A518" s="528">
        <v>80105</v>
      </c>
      <c r="B518" s="529" t="s">
        <v>128</v>
      </c>
      <c r="C518" s="530" t="s">
        <v>374</v>
      </c>
      <c r="D518" s="531">
        <f>SUM(D519:D532)</f>
        <v>411195</v>
      </c>
      <c r="E518" s="526" t="s">
        <v>128</v>
      </c>
      <c r="F518" s="526" t="s">
        <v>128</v>
      </c>
    </row>
    <row r="519" spans="1:6" s="537" customFormat="1">
      <c r="A519" s="532" t="s">
        <v>128</v>
      </c>
      <c r="B519" s="533">
        <v>3020</v>
      </c>
      <c r="C519" s="534" t="s">
        <v>664</v>
      </c>
      <c r="D519" s="535">
        <v>1787</v>
      </c>
      <c r="E519" s="536" t="s">
        <v>128</v>
      </c>
      <c r="F519" s="536" t="s">
        <v>128</v>
      </c>
    </row>
    <row r="520" spans="1:6" s="537" customFormat="1">
      <c r="A520" s="532" t="s">
        <v>128</v>
      </c>
      <c r="B520" s="533">
        <v>4110</v>
      </c>
      <c r="C520" s="534" t="s">
        <v>190</v>
      </c>
      <c r="D520" s="535">
        <v>56241</v>
      </c>
      <c r="E520" s="536" t="s">
        <v>128</v>
      </c>
      <c r="F520" s="536" t="s">
        <v>128</v>
      </c>
    </row>
    <row r="521" spans="1:6" s="537" customFormat="1">
      <c r="A521" s="532" t="s">
        <v>128</v>
      </c>
      <c r="B521" s="533">
        <v>4120</v>
      </c>
      <c r="C521" s="534" t="s">
        <v>191</v>
      </c>
      <c r="D521" s="535">
        <v>5268</v>
      </c>
      <c r="E521" s="536" t="s">
        <v>128</v>
      </c>
      <c r="F521" s="536" t="s">
        <v>128</v>
      </c>
    </row>
    <row r="522" spans="1:6" s="537" customFormat="1">
      <c r="A522" s="532" t="s">
        <v>128</v>
      </c>
      <c r="B522" s="533">
        <v>4210</v>
      </c>
      <c r="C522" s="534" t="s">
        <v>194</v>
      </c>
      <c r="D522" s="535">
        <v>1506</v>
      </c>
      <c r="E522" s="536" t="s">
        <v>128</v>
      </c>
      <c r="F522" s="536" t="s">
        <v>128</v>
      </c>
    </row>
    <row r="523" spans="1:6" s="537" customFormat="1">
      <c r="A523" s="532" t="s">
        <v>128</v>
      </c>
      <c r="B523" s="533">
        <v>4240</v>
      </c>
      <c r="C523" s="534" t="s">
        <v>679</v>
      </c>
      <c r="D523" s="535">
        <v>1240</v>
      </c>
      <c r="E523" s="536" t="s">
        <v>128</v>
      </c>
      <c r="F523" s="536" t="s">
        <v>128</v>
      </c>
    </row>
    <row r="524" spans="1:6" s="537" customFormat="1">
      <c r="A524" s="532" t="s">
        <v>128</v>
      </c>
      <c r="B524" s="533">
        <v>4270</v>
      </c>
      <c r="C524" s="534" t="s">
        <v>196</v>
      </c>
      <c r="D524" s="535">
        <v>858</v>
      </c>
      <c r="E524" s="536" t="s">
        <v>128</v>
      </c>
      <c r="F524" s="536" t="s">
        <v>128</v>
      </c>
    </row>
    <row r="525" spans="1:6" s="537" customFormat="1">
      <c r="A525" s="532" t="s">
        <v>128</v>
      </c>
      <c r="B525" s="533">
        <v>4280</v>
      </c>
      <c r="C525" s="534" t="s">
        <v>666</v>
      </c>
      <c r="D525" s="535">
        <v>440</v>
      </c>
      <c r="E525" s="536" t="s">
        <v>128</v>
      </c>
      <c r="F525" s="536" t="s">
        <v>128</v>
      </c>
    </row>
    <row r="526" spans="1:6" s="537" customFormat="1">
      <c r="A526" s="532" t="s">
        <v>128</v>
      </c>
      <c r="B526" s="533">
        <v>4300</v>
      </c>
      <c r="C526" s="534" t="s">
        <v>197</v>
      </c>
      <c r="D526" s="535">
        <v>449</v>
      </c>
      <c r="E526" s="536" t="s">
        <v>128</v>
      </c>
      <c r="F526" s="536" t="s">
        <v>128</v>
      </c>
    </row>
    <row r="527" spans="1:6" s="537" customFormat="1">
      <c r="A527" s="532" t="s">
        <v>128</v>
      </c>
      <c r="B527" s="533">
        <v>4360</v>
      </c>
      <c r="C527" s="534" t="s">
        <v>641</v>
      </c>
      <c r="D527" s="535">
        <v>352</v>
      </c>
      <c r="E527" s="536" t="s">
        <v>128</v>
      </c>
      <c r="F527" s="536" t="s">
        <v>128</v>
      </c>
    </row>
    <row r="528" spans="1:6" s="537" customFormat="1">
      <c r="A528" s="532" t="s">
        <v>128</v>
      </c>
      <c r="B528" s="533">
        <v>4410</v>
      </c>
      <c r="C528" s="534" t="s">
        <v>198</v>
      </c>
      <c r="D528" s="535">
        <v>132</v>
      </c>
      <c r="E528" s="536" t="s">
        <v>128</v>
      </c>
      <c r="F528" s="536" t="s">
        <v>128</v>
      </c>
    </row>
    <row r="529" spans="1:6" s="537" customFormat="1">
      <c r="A529" s="532" t="s">
        <v>128</v>
      </c>
      <c r="B529" s="533">
        <v>4440</v>
      </c>
      <c r="C529" s="534" t="s">
        <v>667</v>
      </c>
      <c r="D529" s="535">
        <v>12103</v>
      </c>
      <c r="E529" s="536" t="s">
        <v>128</v>
      </c>
      <c r="F529" s="536" t="s">
        <v>128</v>
      </c>
    </row>
    <row r="530" spans="1:6" s="537" customFormat="1">
      <c r="A530" s="532" t="s">
        <v>128</v>
      </c>
      <c r="B530" s="533">
        <v>4710</v>
      </c>
      <c r="C530" s="534" t="s">
        <v>204</v>
      </c>
      <c r="D530" s="535">
        <v>1922</v>
      </c>
      <c r="E530" s="536" t="s">
        <v>128</v>
      </c>
      <c r="F530" s="536" t="s">
        <v>128</v>
      </c>
    </row>
    <row r="531" spans="1:6" s="537" customFormat="1">
      <c r="A531" s="532" t="s">
        <v>128</v>
      </c>
      <c r="B531" s="533">
        <v>4790</v>
      </c>
      <c r="C531" s="534" t="s">
        <v>680</v>
      </c>
      <c r="D531" s="535">
        <v>302335</v>
      </c>
      <c r="E531" s="536" t="s">
        <v>128</v>
      </c>
      <c r="F531" s="536" t="s">
        <v>128</v>
      </c>
    </row>
    <row r="532" spans="1:6" s="537" customFormat="1">
      <c r="A532" s="532" t="s">
        <v>128</v>
      </c>
      <c r="B532" s="533">
        <v>4800</v>
      </c>
      <c r="C532" s="534" t="s">
        <v>681</v>
      </c>
      <c r="D532" s="535">
        <v>26562</v>
      </c>
      <c r="E532" s="536" t="s">
        <v>128</v>
      </c>
      <c r="F532" s="536" t="s">
        <v>128</v>
      </c>
    </row>
    <row r="533" spans="1:6" s="527" customFormat="1">
      <c r="A533" s="528">
        <v>80113</v>
      </c>
      <c r="B533" s="529" t="s">
        <v>128</v>
      </c>
      <c r="C533" s="530" t="s">
        <v>376</v>
      </c>
      <c r="D533" s="531">
        <f>D534</f>
        <v>16500</v>
      </c>
      <c r="E533" s="526" t="s">
        <v>128</v>
      </c>
      <c r="F533" s="526" t="s">
        <v>128</v>
      </c>
    </row>
    <row r="534" spans="1:6" s="537" customFormat="1">
      <c r="A534" s="532" t="s">
        <v>128</v>
      </c>
      <c r="B534" s="533">
        <v>4210</v>
      </c>
      <c r="C534" s="534" t="s">
        <v>194</v>
      </c>
      <c r="D534" s="535">
        <v>16500</v>
      </c>
      <c r="E534" s="536" t="s">
        <v>128</v>
      </c>
      <c r="F534" s="536" t="s">
        <v>128</v>
      </c>
    </row>
    <row r="535" spans="1:6" s="527" customFormat="1">
      <c r="A535" s="538">
        <v>80116</v>
      </c>
      <c r="B535" s="539" t="s">
        <v>128</v>
      </c>
      <c r="C535" s="540" t="s">
        <v>77</v>
      </c>
      <c r="D535" s="541">
        <f>SUM(D536:D557)</f>
        <v>9943107</v>
      </c>
      <c r="E535" s="526" t="s">
        <v>128</v>
      </c>
      <c r="F535" s="526" t="s">
        <v>128</v>
      </c>
    </row>
    <row r="536" spans="1:6" s="537" customFormat="1">
      <c r="A536" s="546" t="s">
        <v>128</v>
      </c>
      <c r="B536" s="547">
        <v>3020</v>
      </c>
      <c r="C536" s="548" t="s">
        <v>664</v>
      </c>
      <c r="D536" s="549">
        <v>17000</v>
      </c>
      <c r="E536" s="536" t="s">
        <v>128</v>
      </c>
      <c r="F536" s="536" t="s">
        <v>128</v>
      </c>
    </row>
    <row r="537" spans="1:6" s="537" customFormat="1">
      <c r="A537" s="532" t="s">
        <v>128</v>
      </c>
      <c r="B537" s="533">
        <v>4010</v>
      </c>
      <c r="C537" s="534" t="s">
        <v>188</v>
      </c>
      <c r="D537" s="535">
        <v>1825931</v>
      </c>
      <c r="E537" s="536" t="s">
        <v>128</v>
      </c>
      <c r="F537" s="536" t="s">
        <v>128</v>
      </c>
    </row>
    <row r="538" spans="1:6" s="537" customFormat="1" ht="12.75" customHeight="1">
      <c r="A538" s="532" t="s">
        <v>128</v>
      </c>
      <c r="B538" s="533">
        <v>4040</v>
      </c>
      <c r="C538" s="534" t="s">
        <v>189</v>
      </c>
      <c r="D538" s="535">
        <v>133702</v>
      </c>
      <c r="E538" s="536" t="s">
        <v>128</v>
      </c>
      <c r="F538" s="536" t="s">
        <v>128</v>
      </c>
    </row>
    <row r="539" spans="1:6" s="537" customFormat="1">
      <c r="A539" s="532" t="s">
        <v>128</v>
      </c>
      <c r="B539" s="533">
        <v>4110</v>
      </c>
      <c r="C539" s="534" t="s">
        <v>190</v>
      </c>
      <c r="D539" s="535">
        <v>1133642</v>
      </c>
      <c r="E539" s="536" t="s">
        <v>128</v>
      </c>
      <c r="F539" s="536" t="s">
        <v>128</v>
      </c>
    </row>
    <row r="540" spans="1:6" s="537" customFormat="1">
      <c r="A540" s="532" t="s">
        <v>128</v>
      </c>
      <c r="B540" s="533">
        <v>4120</v>
      </c>
      <c r="C540" s="534" t="s">
        <v>191</v>
      </c>
      <c r="D540" s="535">
        <v>133116</v>
      </c>
      <c r="E540" s="536" t="s">
        <v>128</v>
      </c>
      <c r="F540" s="536" t="s">
        <v>128</v>
      </c>
    </row>
    <row r="541" spans="1:6" s="537" customFormat="1">
      <c r="A541" s="532" t="s">
        <v>128</v>
      </c>
      <c r="B541" s="533">
        <v>4140</v>
      </c>
      <c r="C541" s="534" t="s">
        <v>665</v>
      </c>
      <c r="D541" s="535">
        <v>8000</v>
      </c>
      <c r="E541" s="536" t="s">
        <v>128</v>
      </c>
      <c r="F541" s="536" t="s">
        <v>128</v>
      </c>
    </row>
    <row r="542" spans="1:6" s="537" customFormat="1">
      <c r="A542" s="532" t="s">
        <v>128</v>
      </c>
      <c r="B542" s="533">
        <v>4170</v>
      </c>
      <c r="C542" s="534" t="s">
        <v>192</v>
      </c>
      <c r="D542" s="535">
        <v>8000</v>
      </c>
      <c r="E542" s="536" t="s">
        <v>128</v>
      </c>
      <c r="F542" s="536" t="s">
        <v>128</v>
      </c>
    </row>
    <row r="543" spans="1:6" s="537" customFormat="1">
      <c r="A543" s="532" t="s">
        <v>128</v>
      </c>
      <c r="B543" s="533">
        <v>4210</v>
      </c>
      <c r="C543" s="534" t="s">
        <v>194</v>
      </c>
      <c r="D543" s="535">
        <v>176900</v>
      </c>
      <c r="E543" s="536" t="s">
        <v>128</v>
      </c>
      <c r="F543" s="536" t="s">
        <v>128</v>
      </c>
    </row>
    <row r="544" spans="1:6" s="537" customFormat="1">
      <c r="A544" s="532" t="s">
        <v>128</v>
      </c>
      <c r="B544" s="533">
        <v>4240</v>
      </c>
      <c r="C544" s="534" t="s">
        <v>679</v>
      </c>
      <c r="D544" s="535">
        <v>219940</v>
      </c>
      <c r="E544" s="536" t="s">
        <v>128</v>
      </c>
      <c r="F544" s="536" t="s">
        <v>128</v>
      </c>
    </row>
    <row r="545" spans="1:6" s="537" customFormat="1">
      <c r="A545" s="532" t="s">
        <v>128</v>
      </c>
      <c r="B545" s="533">
        <v>4260</v>
      </c>
      <c r="C545" s="534" t="s">
        <v>640</v>
      </c>
      <c r="D545" s="535">
        <v>424600</v>
      </c>
      <c r="E545" s="536" t="s">
        <v>128</v>
      </c>
      <c r="F545" s="536" t="s">
        <v>128</v>
      </c>
    </row>
    <row r="546" spans="1:6" s="537" customFormat="1">
      <c r="A546" s="532" t="s">
        <v>128</v>
      </c>
      <c r="B546" s="533">
        <v>4270</v>
      </c>
      <c r="C546" s="534" t="s">
        <v>196</v>
      </c>
      <c r="D546" s="535">
        <v>394555</v>
      </c>
      <c r="E546" s="536" t="s">
        <v>128</v>
      </c>
      <c r="F546" s="536" t="s">
        <v>128</v>
      </c>
    </row>
    <row r="547" spans="1:6" s="537" customFormat="1">
      <c r="A547" s="532" t="s">
        <v>128</v>
      </c>
      <c r="B547" s="533">
        <v>4280</v>
      </c>
      <c r="C547" s="534" t="s">
        <v>666</v>
      </c>
      <c r="D547" s="535">
        <v>4700</v>
      </c>
      <c r="E547" s="536" t="s">
        <v>128</v>
      </c>
      <c r="F547" s="536" t="s">
        <v>128</v>
      </c>
    </row>
    <row r="548" spans="1:6" s="537" customFormat="1">
      <c r="A548" s="532" t="s">
        <v>128</v>
      </c>
      <c r="B548" s="533">
        <v>4300</v>
      </c>
      <c r="C548" s="534" t="s">
        <v>197</v>
      </c>
      <c r="D548" s="535">
        <v>210449</v>
      </c>
      <c r="E548" s="536" t="s">
        <v>128</v>
      </c>
      <c r="F548" s="536" t="s">
        <v>128</v>
      </c>
    </row>
    <row r="549" spans="1:6" s="537" customFormat="1">
      <c r="A549" s="532" t="s">
        <v>128</v>
      </c>
      <c r="B549" s="533">
        <v>4360</v>
      </c>
      <c r="C549" s="534" t="s">
        <v>641</v>
      </c>
      <c r="D549" s="535">
        <v>12250</v>
      </c>
      <c r="E549" s="536" t="s">
        <v>128</v>
      </c>
      <c r="F549" s="536" t="s">
        <v>128</v>
      </c>
    </row>
    <row r="550" spans="1:6" s="537" customFormat="1">
      <c r="A550" s="532" t="s">
        <v>128</v>
      </c>
      <c r="B550" s="533">
        <v>4390</v>
      </c>
      <c r="C550" s="534" t="s">
        <v>651</v>
      </c>
      <c r="D550" s="535">
        <v>550</v>
      </c>
      <c r="E550" s="536" t="s">
        <v>128</v>
      </c>
      <c r="F550" s="536" t="s">
        <v>128</v>
      </c>
    </row>
    <row r="551" spans="1:6" s="537" customFormat="1">
      <c r="A551" s="532" t="s">
        <v>128</v>
      </c>
      <c r="B551" s="533">
        <v>4410</v>
      </c>
      <c r="C551" s="534" t="s">
        <v>198</v>
      </c>
      <c r="D551" s="535">
        <v>6000</v>
      </c>
      <c r="E551" s="536" t="s">
        <v>128</v>
      </c>
      <c r="F551" s="536" t="s">
        <v>128</v>
      </c>
    </row>
    <row r="552" spans="1:6" s="537" customFormat="1">
      <c r="A552" s="532" t="s">
        <v>128</v>
      </c>
      <c r="B552" s="533">
        <v>4430</v>
      </c>
      <c r="C552" s="534" t="s">
        <v>645</v>
      </c>
      <c r="D552" s="535">
        <v>15401</v>
      </c>
      <c r="E552" s="536" t="s">
        <v>128</v>
      </c>
      <c r="F552" s="536" t="s">
        <v>128</v>
      </c>
    </row>
    <row r="553" spans="1:6" s="537" customFormat="1">
      <c r="A553" s="532" t="s">
        <v>128</v>
      </c>
      <c r="B553" s="533">
        <v>4440</v>
      </c>
      <c r="C553" s="534" t="s">
        <v>667</v>
      </c>
      <c r="D553" s="535">
        <v>303657</v>
      </c>
      <c r="E553" s="536" t="s">
        <v>128</v>
      </c>
      <c r="F553" s="536" t="s">
        <v>128</v>
      </c>
    </row>
    <row r="554" spans="1:6" s="537" customFormat="1">
      <c r="A554" s="532" t="s">
        <v>128</v>
      </c>
      <c r="B554" s="533">
        <v>4700</v>
      </c>
      <c r="C554" s="534" t="s">
        <v>646</v>
      </c>
      <c r="D554" s="535">
        <v>14500</v>
      </c>
      <c r="E554" s="536" t="s">
        <v>128</v>
      </c>
      <c r="F554" s="536" t="s">
        <v>128</v>
      </c>
    </row>
    <row r="555" spans="1:6" s="537" customFormat="1">
      <c r="A555" s="532" t="s">
        <v>128</v>
      </c>
      <c r="B555" s="533">
        <v>4710</v>
      </c>
      <c r="C555" s="534" t="s">
        <v>204</v>
      </c>
      <c r="D555" s="535">
        <v>24666</v>
      </c>
      <c r="E555" s="536" t="s">
        <v>128</v>
      </c>
      <c r="F555" s="536" t="s">
        <v>128</v>
      </c>
    </row>
    <row r="556" spans="1:6" s="537" customFormat="1">
      <c r="A556" s="532" t="s">
        <v>128</v>
      </c>
      <c r="B556" s="533">
        <v>4790</v>
      </c>
      <c r="C556" s="534" t="s">
        <v>680</v>
      </c>
      <c r="D556" s="535">
        <v>4574722</v>
      </c>
      <c r="E556" s="536" t="s">
        <v>128</v>
      </c>
      <c r="F556" s="536" t="s">
        <v>128</v>
      </c>
    </row>
    <row r="557" spans="1:6" s="537" customFormat="1">
      <c r="A557" s="532" t="s">
        <v>128</v>
      </c>
      <c r="B557" s="533">
        <v>4800</v>
      </c>
      <c r="C557" s="534" t="s">
        <v>681</v>
      </c>
      <c r="D557" s="535">
        <v>300826</v>
      </c>
      <c r="E557" s="536" t="s">
        <v>128</v>
      </c>
      <c r="F557" s="536" t="s">
        <v>128</v>
      </c>
    </row>
    <row r="558" spans="1:6" s="527" customFormat="1">
      <c r="A558" s="528">
        <v>80121</v>
      </c>
      <c r="B558" s="529" t="s">
        <v>128</v>
      </c>
      <c r="C558" s="530" t="s">
        <v>78</v>
      </c>
      <c r="D558" s="531">
        <f>SUM(D559:D575)</f>
        <v>5635663</v>
      </c>
      <c r="E558" s="526" t="s">
        <v>128</v>
      </c>
      <c r="F558" s="526" t="s">
        <v>128</v>
      </c>
    </row>
    <row r="559" spans="1:6" s="537" customFormat="1">
      <c r="A559" s="532" t="s">
        <v>128</v>
      </c>
      <c r="B559" s="533">
        <v>3020</v>
      </c>
      <c r="C559" s="534" t="s">
        <v>664</v>
      </c>
      <c r="D559" s="535">
        <v>8896</v>
      </c>
      <c r="E559" s="536" t="s">
        <v>128</v>
      </c>
      <c r="F559" s="536" t="s">
        <v>128</v>
      </c>
    </row>
    <row r="560" spans="1:6" s="537" customFormat="1">
      <c r="A560" s="532" t="s">
        <v>128</v>
      </c>
      <c r="B560" s="533">
        <v>4110</v>
      </c>
      <c r="C560" s="534" t="s">
        <v>190</v>
      </c>
      <c r="D560" s="535">
        <v>725720</v>
      </c>
      <c r="E560" s="536" t="s">
        <v>128</v>
      </c>
      <c r="F560" s="536" t="s">
        <v>128</v>
      </c>
    </row>
    <row r="561" spans="1:6" s="537" customFormat="1">
      <c r="A561" s="532" t="s">
        <v>128</v>
      </c>
      <c r="B561" s="533">
        <v>4120</v>
      </c>
      <c r="C561" s="534" t="s">
        <v>191</v>
      </c>
      <c r="D561" s="535">
        <v>89285</v>
      </c>
      <c r="E561" s="536" t="s">
        <v>128</v>
      </c>
      <c r="F561" s="536" t="s">
        <v>128</v>
      </c>
    </row>
    <row r="562" spans="1:6" s="537" customFormat="1">
      <c r="A562" s="532" t="s">
        <v>128</v>
      </c>
      <c r="B562" s="533">
        <v>4210</v>
      </c>
      <c r="C562" s="534" t="s">
        <v>194</v>
      </c>
      <c r="D562" s="535">
        <v>29272</v>
      </c>
      <c r="E562" s="536" t="s">
        <v>128</v>
      </c>
      <c r="F562" s="536" t="s">
        <v>128</v>
      </c>
    </row>
    <row r="563" spans="1:6" s="537" customFormat="1">
      <c r="A563" s="532" t="s">
        <v>128</v>
      </c>
      <c r="B563" s="533">
        <v>4240</v>
      </c>
      <c r="C563" s="534" t="s">
        <v>679</v>
      </c>
      <c r="D563" s="535">
        <v>19760</v>
      </c>
      <c r="E563" s="536" t="s">
        <v>128</v>
      </c>
      <c r="F563" s="536" t="s">
        <v>128</v>
      </c>
    </row>
    <row r="564" spans="1:6" s="537" customFormat="1">
      <c r="A564" s="532" t="s">
        <v>128</v>
      </c>
      <c r="B564" s="533">
        <v>4260</v>
      </c>
      <c r="C564" s="534" t="s">
        <v>640</v>
      </c>
      <c r="D564" s="535">
        <v>91800</v>
      </c>
      <c r="E564" s="536" t="s">
        <v>128</v>
      </c>
      <c r="F564" s="536" t="s">
        <v>128</v>
      </c>
    </row>
    <row r="565" spans="1:6" s="537" customFormat="1">
      <c r="A565" s="532" t="s">
        <v>128</v>
      </c>
      <c r="B565" s="533">
        <v>4270</v>
      </c>
      <c r="C565" s="534" t="s">
        <v>196</v>
      </c>
      <c r="D565" s="535">
        <v>6193</v>
      </c>
      <c r="E565" s="536" t="s">
        <v>128</v>
      </c>
      <c r="F565" s="536" t="s">
        <v>128</v>
      </c>
    </row>
    <row r="566" spans="1:6" s="537" customFormat="1">
      <c r="A566" s="532" t="s">
        <v>128</v>
      </c>
      <c r="B566" s="533">
        <v>4280</v>
      </c>
      <c r="C566" s="534" t="s">
        <v>666</v>
      </c>
      <c r="D566" s="535">
        <v>7040</v>
      </c>
      <c r="E566" s="536" t="s">
        <v>128</v>
      </c>
      <c r="F566" s="536" t="s">
        <v>128</v>
      </c>
    </row>
    <row r="567" spans="1:6" s="537" customFormat="1">
      <c r="A567" s="532" t="s">
        <v>128</v>
      </c>
      <c r="B567" s="533">
        <v>4300</v>
      </c>
      <c r="C567" s="534" t="s">
        <v>197</v>
      </c>
      <c r="D567" s="535">
        <v>37000</v>
      </c>
      <c r="E567" s="536" t="s">
        <v>128</v>
      </c>
      <c r="F567" s="536" t="s">
        <v>128</v>
      </c>
    </row>
    <row r="568" spans="1:6" s="537" customFormat="1">
      <c r="A568" s="532" t="s">
        <v>128</v>
      </c>
      <c r="B568" s="533">
        <v>4360</v>
      </c>
      <c r="C568" s="534" t="s">
        <v>641</v>
      </c>
      <c r="D568" s="535">
        <v>9078</v>
      </c>
      <c r="E568" s="536" t="s">
        <v>128</v>
      </c>
      <c r="F568" s="536" t="s">
        <v>128</v>
      </c>
    </row>
    <row r="569" spans="1:6" s="537" customFormat="1">
      <c r="A569" s="532" t="s">
        <v>128</v>
      </c>
      <c r="B569" s="533">
        <v>4410</v>
      </c>
      <c r="C569" s="534" t="s">
        <v>198</v>
      </c>
      <c r="D569" s="535">
        <v>3000</v>
      </c>
      <c r="E569" s="536" t="s">
        <v>128</v>
      </c>
      <c r="F569" s="536" t="s">
        <v>128</v>
      </c>
    </row>
    <row r="570" spans="1:6" s="537" customFormat="1">
      <c r="A570" s="532" t="s">
        <v>128</v>
      </c>
      <c r="B570" s="533">
        <v>4430</v>
      </c>
      <c r="C570" s="534" t="s">
        <v>645</v>
      </c>
      <c r="D570" s="535">
        <v>1980</v>
      </c>
      <c r="E570" s="536" t="s">
        <v>128</v>
      </c>
      <c r="F570" s="536" t="s">
        <v>128</v>
      </c>
    </row>
    <row r="571" spans="1:6" s="537" customFormat="1">
      <c r="A571" s="532" t="s">
        <v>128</v>
      </c>
      <c r="B571" s="533">
        <v>4440</v>
      </c>
      <c r="C571" s="534" t="s">
        <v>667</v>
      </c>
      <c r="D571" s="535">
        <v>137607</v>
      </c>
      <c r="E571" s="536" t="s">
        <v>128</v>
      </c>
      <c r="F571" s="536" t="s">
        <v>128</v>
      </c>
    </row>
    <row r="572" spans="1:6" s="537" customFormat="1">
      <c r="A572" s="532" t="s">
        <v>128</v>
      </c>
      <c r="B572" s="533">
        <v>4700</v>
      </c>
      <c r="C572" s="534" t="s">
        <v>646</v>
      </c>
      <c r="D572" s="535">
        <v>2700</v>
      </c>
      <c r="E572" s="536" t="s">
        <v>128</v>
      </c>
      <c r="F572" s="536" t="s">
        <v>128</v>
      </c>
    </row>
    <row r="573" spans="1:6" s="537" customFormat="1">
      <c r="A573" s="532" t="s">
        <v>128</v>
      </c>
      <c r="B573" s="533">
        <v>4710</v>
      </c>
      <c r="C573" s="534" t="s">
        <v>204</v>
      </c>
      <c r="D573" s="535">
        <v>34124</v>
      </c>
      <c r="E573" s="536" t="s">
        <v>128</v>
      </c>
      <c r="F573" s="536" t="s">
        <v>128</v>
      </c>
    </row>
    <row r="574" spans="1:6" s="537" customFormat="1">
      <c r="A574" s="532" t="s">
        <v>128</v>
      </c>
      <c r="B574" s="533">
        <v>4790</v>
      </c>
      <c r="C574" s="534" t="s">
        <v>680</v>
      </c>
      <c r="D574" s="535">
        <v>4161025</v>
      </c>
      <c r="E574" s="536" t="s">
        <v>128</v>
      </c>
      <c r="F574" s="536" t="s">
        <v>128</v>
      </c>
    </row>
    <row r="575" spans="1:6" s="537" customFormat="1">
      <c r="A575" s="532" t="s">
        <v>128</v>
      </c>
      <c r="B575" s="533">
        <v>4800</v>
      </c>
      <c r="C575" s="534" t="s">
        <v>681</v>
      </c>
      <c r="D575" s="535">
        <v>271183</v>
      </c>
      <c r="E575" s="536" t="s">
        <v>128</v>
      </c>
      <c r="F575" s="536" t="s">
        <v>128</v>
      </c>
    </row>
    <row r="576" spans="1:6" s="527" customFormat="1">
      <c r="A576" s="528">
        <v>80134</v>
      </c>
      <c r="B576" s="529" t="s">
        <v>128</v>
      </c>
      <c r="C576" s="530" t="s">
        <v>79</v>
      </c>
      <c r="D576" s="531">
        <f>SUM(D577:D596)</f>
        <v>24415128</v>
      </c>
      <c r="E576" s="526" t="s">
        <v>128</v>
      </c>
      <c r="F576" s="526" t="s">
        <v>128</v>
      </c>
    </row>
    <row r="577" spans="1:6" s="537" customFormat="1">
      <c r="A577" s="532" t="s">
        <v>128</v>
      </c>
      <c r="B577" s="533">
        <v>3020</v>
      </c>
      <c r="C577" s="534" t="s">
        <v>664</v>
      </c>
      <c r="D577" s="535">
        <v>13450</v>
      </c>
      <c r="E577" s="536" t="s">
        <v>128</v>
      </c>
      <c r="F577" s="536" t="s">
        <v>128</v>
      </c>
    </row>
    <row r="578" spans="1:6" s="537" customFormat="1">
      <c r="A578" s="532" t="s">
        <v>128</v>
      </c>
      <c r="B578" s="533">
        <v>4010</v>
      </c>
      <c r="C578" s="534" t="s">
        <v>188</v>
      </c>
      <c r="D578" s="535">
        <v>407996</v>
      </c>
      <c r="E578" s="536" t="s">
        <v>128</v>
      </c>
      <c r="F578" s="536" t="s">
        <v>128</v>
      </c>
    </row>
    <row r="579" spans="1:6" s="537" customFormat="1">
      <c r="A579" s="532" t="s">
        <v>128</v>
      </c>
      <c r="B579" s="533">
        <v>4040</v>
      </c>
      <c r="C579" s="534" t="s">
        <v>189</v>
      </c>
      <c r="D579" s="535">
        <v>32374</v>
      </c>
      <c r="E579" s="536" t="s">
        <v>128</v>
      </c>
      <c r="F579" s="536" t="s">
        <v>128</v>
      </c>
    </row>
    <row r="580" spans="1:6" s="537" customFormat="1">
      <c r="A580" s="532" t="s">
        <v>128</v>
      </c>
      <c r="B580" s="533">
        <v>4110</v>
      </c>
      <c r="C580" s="534" t="s">
        <v>190</v>
      </c>
      <c r="D580" s="535">
        <v>3149157</v>
      </c>
      <c r="E580" s="536" t="s">
        <v>128</v>
      </c>
      <c r="F580" s="536" t="s">
        <v>128</v>
      </c>
    </row>
    <row r="581" spans="1:6" s="537" customFormat="1">
      <c r="A581" s="532" t="s">
        <v>128</v>
      </c>
      <c r="B581" s="533">
        <v>4120</v>
      </c>
      <c r="C581" s="534" t="s">
        <v>191</v>
      </c>
      <c r="D581" s="535">
        <v>383590</v>
      </c>
      <c r="E581" s="536" t="s">
        <v>128</v>
      </c>
      <c r="F581" s="536" t="s">
        <v>128</v>
      </c>
    </row>
    <row r="582" spans="1:6" s="537" customFormat="1">
      <c r="A582" s="532" t="s">
        <v>128</v>
      </c>
      <c r="B582" s="533">
        <v>4210</v>
      </c>
      <c r="C582" s="534" t="s">
        <v>194</v>
      </c>
      <c r="D582" s="535">
        <v>90300</v>
      </c>
      <c r="E582" s="536" t="s">
        <v>128</v>
      </c>
      <c r="F582" s="536" t="s">
        <v>128</v>
      </c>
    </row>
    <row r="583" spans="1:6" s="537" customFormat="1">
      <c r="A583" s="532" t="s">
        <v>128</v>
      </c>
      <c r="B583" s="533">
        <v>4240</v>
      </c>
      <c r="C583" s="534" t="s">
        <v>679</v>
      </c>
      <c r="D583" s="535">
        <v>104700</v>
      </c>
      <c r="E583" s="536" t="s">
        <v>128</v>
      </c>
      <c r="F583" s="536" t="s">
        <v>128</v>
      </c>
    </row>
    <row r="584" spans="1:6" s="537" customFormat="1">
      <c r="A584" s="532" t="s">
        <v>128</v>
      </c>
      <c r="B584" s="533">
        <v>4260</v>
      </c>
      <c r="C584" s="534" t="s">
        <v>640</v>
      </c>
      <c r="D584" s="535">
        <v>447000</v>
      </c>
      <c r="E584" s="536" t="s">
        <v>128</v>
      </c>
      <c r="F584" s="536" t="s">
        <v>128</v>
      </c>
    </row>
    <row r="585" spans="1:6" s="537" customFormat="1">
      <c r="A585" s="532" t="s">
        <v>128</v>
      </c>
      <c r="B585" s="533">
        <v>4270</v>
      </c>
      <c r="C585" s="534" t="s">
        <v>196</v>
      </c>
      <c r="D585" s="535">
        <v>12150</v>
      </c>
      <c r="E585" s="536" t="s">
        <v>128</v>
      </c>
      <c r="F585" s="536" t="s">
        <v>128</v>
      </c>
    </row>
    <row r="586" spans="1:6" s="537" customFormat="1">
      <c r="A586" s="532" t="s">
        <v>128</v>
      </c>
      <c r="B586" s="533">
        <v>4280</v>
      </c>
      <c r="C586" s="534" t="s">
        <v>666</v>
      </c>
      <c r="D586" s="535">
        <v>14860</v>
      </c>
      <c r="E586" s="536" t="s">
        <v>128</v>
      </c>
      <c r="F586" s="536" t="s">
        <v>128</v>
      </c>
    </row>
    <row r="587" spans="1:6" s="537" customFormat="1">
      <c r="A587" s="532" t="s">
        <v>128</v>
      </c>
      <c r="B587" s="533">
        <v>4300</v>
      </c>
      <c r="C587" s="534" t="s">
        <v>197</v>
      </c>
      <c r="D587" s="535">
        <v>647420</v>
      </c>
      <c r="E587" s="536" t="s">
        <v>128</v>
      </c>
      <c r="F587" s="536" t="s">
        <v>128</v>
      </c>
    </row>
    <row r="588" spans="1:6" s="537" customFormat="1">
      <c r="A588" s="532" t="s">
        <v>128</v>
      </c>
      <c r="B588" s="533">
        <v>4360</v>
      </c>
      <c r="C588" s="534" t="s">
        <v>641</v>
      </c>
      <c r="D588" s="535">
        <v>12385</v>
      </c>
      <c r="E588" s="536" t="s">
        <v>128</v>
      </c>
      <c r="F588" s="536" t="s">
        <v>128</v>
      </c>
    </row>
    <row r="589" spans="1:6" s="537" customFormat="1">
      <c r="A589" s="532" t="s">
        <v>128</v>
      </c>
      <c r="B589" s="533">
        <v>4390</v>
      </c>
      <c r="C589" s="534" t="s">
        <v>651</v>
      </c>
      <c r="D589" s="535">
        <v>1575</v>
      </c>
      <c r="E589" s="536" t="s">
        <v>128</v>
      </c>
      <c r="F589" s="536" t="s">
        <v>128</v>
      </c>
    </row>
    <row r="590" spans="1:6" s="537" customFormat="1">
      <c r="A590" s="532" t="s">
        <v>128</v>
      </c>
      <c r="B590" s="533">
        <v>4410</v>
      </c>
      <c r="C590" s="534" t="s">
        <v>198</v>
      </c>
      <c r="D590" s="535">
        <v>3100</v>
      </c>
      <c r="E590" s="536" t="s">
        <v>128</v>
      </c>
      <c r="F590" s="536" t="s">
        <v>128</v>
      </c>
    </row>
    <row r="591" spans="1:6" s="537" customFormat="1">
      <c r="A591" s="532" t="s">
        <v>128</v>
      </c>
      <c r="B591" s="533">
        <v>4430</v>
      </c>
      <c r="C591" s="534" t="s">
        <v>645</v>
      </c>
      <c r="D591" s="535">
        <v>4840</v>
      </c>
      <c r="E591" s="536" t="s">
        <v>128</v>
      </c>
      <c r="F591" s="536" t="s">
        <v>128</v>
      </c>
    </row>
    <row r="592" spans="1:6" s="537" customFormat="1">
      <c r="A592" s="532" t="s">
        <v>128</v>
      </c>
      <c r="B592" s="533">
        <v>4440</v>
      </c>
      <c r="C592" s="534" t="s">
        <v>667</v>
      </c>
      <c r="D592" s="535">
        <v>573461</v>
      </c>
      <c r="E592" s="536" t="s">
        <v>128</v>
      </c>
      <c r="F592" s="536" t="s">
        <v>128</v>
      </c>
    </row>
    <row r="593" spans="1:6" s="537" customFormat="1">
      <c r="A593" s="532" t="s">
        <v>128</v>
      </c>
      <c r="B593" s="533">
        <v>4700</v>
      </c>
      <c r="C593" s="534" t="s">
        <v>646</v>
      </c>
      <c r="D593" s="535">
        <v>6700</v>
      </c>
      <c r="E593" s="536" t="s">
        <v>128</v>
      </c>
      <c r="F593" s="536" t="s">
        <v>128</v>
      </c>
    </row>
    <row r="594" spans="1:6" s="537" customFormat="1">
      <c r="A594" s="532" t="s">
        <v>128</v>
      </c>
      <c r="B594" s="533">
        <v>4710</v>
      </c>
      <c r="C594" s="534" t="s">
        <v>204</v>
      </c>
      <c r="D594" s="535">
        <v>115702</v>
      </c>
      <c r="E594" s="536" t="s">
        <v>128</v>
      </c>
      <c r="F594" s="536" t="s">
        <v>128</v>
      </c>
    </row>
    <row r="595" spans="1:6" s="537" customFormat="1">
      <c r="A595" s="532" t="s">
        <v>128</v>
      </c>
      <c r="B595" s="533">
        <v>4790</v>
      </c>
      <c r="C595" s="534" t="s">
        <v>680</v>
      </c>
      <c r="D595" s="535">
        <v>17269646</v>
      </c>
      <c r="E595" s="536" t="s">
        <v>128</v>
      </c>
      <c r="F595" s="536" t="s">
        <v>128</v>
      </c>
    </row>
    <row r="596" spans="1:6" s="537" customFormat="1">
      <c r="A596" s="532" t="s">
        <v>128</v>
      </c>
      <c r="B596" s="533">
        <v>4800</v>
      </c>
      <c r="C596" s="534" t="s">
        <v>681</v>
      </c>
      <c r="D596" s="535">
        <v>1124722</v>
      </c>
      <c r="E596" s="536" t="s">
        <v>128</v>
      </c>
      <c r="F596" s="536" t="s">
        <v>128</v>
      </c>
    </row>
    <row r="597" spans="1:6" s="527" customFormat="1">
      <c r="A597" s="528">
        <v>80140</v>
      </c>
      <c r="B597" s="529" t="s">
        <v>128</v>
      </c>
      <c r="C597" s="530" t="s">
        <v>80</v>
      </c>
      <c r="D597" s="531">
        <f>SUM(D598:D617)</f>
        <v>3848964</v>
      </c>
      <c r="E597" s="526" t="s">
        <v>128</v>
      </c>
      <c r="F597" s="526" t="s">
        <v>128</v>
      </c>
    </row>
    <row r="598" spans="1:6" s="537" customFormat="1">
      <c r="A598" s="532" t="s">
        <v>128</v>
      </c>
      <c r="B598" s="533">
        <v>3020</v>
      </c>
      <c r="C598" s="534" t="s">
        <v>664</v>
      </c>
      <c r="D598" s="535">
        <v>2000</v>
      </c>
      <c r="E598" s="536" t="s">
        <v>128</v>
      </c>
      <c r="F598" s="536" t="s">
        <v>128</v>
      </c>
    </row>
    <row r="599" spans="1:6" s="537" customFormat="1">
      <c r="A599" s="532" t="s">
        <v>128</v>
      </c>
      <c r="B599" s="533">
        <v>4010</v>
      </c>
      <c r="C599" s="534" t="s">
        <v>188</v>
      </c>
      <c r="D599" s="535">
        <v>690774</v>
      </c>
      <c r="E599" s="536" t="s">
        <v>128</v>
      </c>
      <c r="F599" s="536" t="s">
        <v>128</v>
      </c>
    </row>
    <row r="600" spans="1:6" s="537" customFormat="1">
      <c r="A600" s="532" t="s">
        <v>128</v>
      </c>
      <c r="B600" s="533">
        <v>4040</v>
      </c>
      <c r="C600" s="534" t="s">
        <v>189</v>
      </c>
      <c r="D600" s="535">
        <v>48902</v>
      </c>
      <c r="E600" s="536" t="s">
        <v>128</v>
      </c>
      <c r="F600" s="536" t="s">
        <v>128</v>
      </c>
    </row>
    <row r="601" spans="1:6" s="537" customFormat="1" ht="12.75" customHeight="1">
      <c r="A601" s="532" t="s">
        <v>128</v>
      </c>
      <c r="B601" s="533">
        <v>4110</v>
      </c>
      <c r="C601" s="534" t="s">
        <v>190</v>
      </c>
      <c r="D601" s="535">
        <v>499082</v>
      </c>
      <c r="E601" s="536" t="s">
        <v>128</v>
      </c>
      <c r="F601" s="536" t="s">
        <v>128</v>
      </c>
    </row>
    <row r="602" spans="1:6" s="537" customFormat="1" ht="12.75" customHeight="1">
      <c r="A602" s="532" t="s">
        <v>128</v>
      </c>
      <c r="B602" s="533">
        <v>4120</v>
      </c>
      <c r="C602" s="534" t="s">
        <v>191</v>
      </c>
      <c r="D602" s="535">
        <v>44649</v>
      </c>
      <c r="E602" s="536" t="s">
        <v>128</v>
      </c>
      <c r="F602" s="536" t="s">
        <v>128</v>
      </c>
    </row>
    <row r="603" spans="1:6" s="537" customFormat="1">
      <c r="A603" s="532" t="s">
        <v>128</v>
      </c>
      <c r="B603" s="533">
        <v>4210</v>
      </c>
      <c r="C603" s="534" t="s">
        <v>194</v>
      </c>
      <c r="D603" s="535">
        <v>80000</v>
      </c>
      <c r="E603" s="536" t="s">
        <v>128</v>
      </c>
      <c r="F603" s="536" t="s">
        <v>128</v>
      </c>
    </row>
    <row r="604" spans="1:6" s="537" customFormat="1">
      <c r="A604" s="532" t="s">
        <v>128</v>
      </c>
      <c r="B604" s="533">
        <v>4240</v>
      </c>
      <c r="C604" s="534" t="s">
        <v>679</v>
      </c>
      <c r="D604" s="535">
        <v>3000</v>
      </c>
      <c r="E604" s="536" t="s">
        <v>128</v>
      </c>
      <c r="F604" s="536" t="s">
        <v>128</v>
      </c>
    </row>
    <row r="605" spans="1:6" s="537" customFormat="1">
      <c r="A605" s="532" t="s">
        <v>128</v>
      </c>
      <c r="B605" s="533">
        <v>4260</v>
      </c>
      <c r="C605" s="534" t="s">
        <v>640</v>
      </c>
      <c r="D605" s="535">
        <v>84000</v>
      </c>
      <c r="E605" s="536" t="s">
        <v>128</v>
      </c>
      <c r="F605" s="536" t="s">
        <v>128</v>
      </c>
    </row>
    <row r="606" spans="1:6" s="537" customFormat="1">
      <c r="A606" s="532" t="s">
        <v>128</v>
      </c>
      <c r="B606" s="533">
        <v>4270</v>
      </c>
      <c r="C606" s="534" t="s">
        <v>196</v>
      </c>
      <c r="D606" s="535">
        <v>6000</v>
      </c>
      <c r="E606" s="536" t="s">
        <v>128</v>
      </c>
      <c r="F606" s="536" t="s">
        <v>128</v>
      </c>
    </row>
    <row r="607" spans="1:6" s="537" customFormat="1">
      <c r="A607" s="532" t="s">
        <v>128</v>
      </c>
      <c r="B607" s="533">
        <v>4280</v>
      </c>
      <c r="C607" s="534" t="s">
        <v>666</v>
      </c>
      <c r="D607" s="535">
        <v>3340</v>
      </c>
      <c r="E607" s="536" t="s">
        <v>128</v>
      </c>
      <c r="F607" s="536" t="s">
        <v>128</v>
      </c>
    </row>
    <row r="608" spans="1:6" s="537" customFormat="1">
      <c r="A608" s="532" t="s">
        <v>128</v>
      </c>
      <c r="B608" s="533">
        <v>4300</v>
      </c>
      <c r="C608" s="534" t="s">
        <v>197</v>
      </c>
      <c r="D608" s="535">
        <v>65690</v>
      </c>
      <c r="E608" s="536" t="s">
        <v>128</v>
      </c>
      <c r="F608" s="536" t="s">
        <v>128</v>
      </c>
    </row>
    <row r="609" spans="1:6" s="537" customFormat="1">
      <c r="A609" s="542" t="s">
        <v>128</v>
      </c>
      <c r="B609" s="543">
        <v>4360</v>
      </c>
      <c r="C609" s="544" t="s">
        <v>641</v>
      </c>
      <c r="D609" s="545">
        <v>5000</v>
      </c>
      <c r="E609" s="536" t="s">
        <v>128</v>
      </c>
      <c r="F609" s="536" t="s">
        <v>128</v>
      </c>
    </row>
    <row r="610" spans="1:6" s="537" customFormat="1">
      <c r="A610" s="546" t="s">
        <v>128</v>
      </c>
      <c r="B610" s="547">
        <v>4410</v>
      </c>
      <c r="C610" s="548" t="s">
        <v>198</v>
      </c>
      <c r="D610" s="549">
        <v>6000</v>
      </c>
      <c r="E610" s="536" t="s">
        <v>128</v>
      </c>
      <c r="F610" s="536" t="s">
        <v>128</v>
      </c>
    </row>
    <row r="611" spans="1:6" s="537" customFormat="1" ht="12.75" customHeight="1">
      <c r="A611" s="532" t="s">
        <v>128</v>
      </c>
      <c r="B611" s="533">
        <v>4430</v>
      </c>
      <c r="C611" s="534" t="s">
        <v>645</v>
      </c>
      <c r="D611" s="535">
        <v>6524</v>
      </c>
      <c r="E611" s="536" t="s">
        <v>128</v>
      </c>
      <c r="F611" s="536" t="s">
        <v>128</v>
      </c>
    </row>
    <row r="612" spans="1:6" s="537" customFormat="1">
      <c r="A612" s="532" t="s">
        <v>128</v>
      </c>
      <c r="B612" s="533">
        <v>4440</v>
      </c>
      <c r="C612" s="534" t="s">
        <v>667</v>
      </c>
      <c r="D612" s="535">
        <v>99131</v>
      </c>
      <c r="E612" s="536" t="s">
        <v>128</v>
      </c>
      <c r="F612" s="536" t="s">
        <v>128</v>
      </c>
    </row>
    <row r="613" spans="1:6" s="537" customFormat="1">
      <c r="A613" s="532" t="s">
        <v>128</v>
      </c>
      <c r="B613" s="533">
        <v>4520</v>
      </c>
      <c r="C613" s="534" t="s">
        <v>656</v>
      </c>
      <c r="D613" s="535">
        <v>1900</v>
      </c>
      <c r="E613" s="536" t="s">
        <v>128</v>
      </c>
      <c r="F613" s="536" t="s">
        <v>128</v>
      </c>
    </row>
    <row r="614" spans="1:6" s="537" customFormat="1">
      <c r="A614" s="532" t="s">
        <v>128</v>
      </c>
      <c r="B614" s="533">
        <v>4700</v>
      </c>
      <c r="C614" s="534" t="s">
        <v>646</v>
      </c>
      <c r="D614" s="535">
        <v>1500</v>
      </c>
      <c r="E614" s="536" t="s">
        <v>128</v>
      </c>
      <c r="F614" s="536" t="s">
        <v>128</v>
      </c>
    </row>
    <row r="615" spans="1:6" s="537" customFormat="1">
      <c r="A615" s="532" t="s">
        <v>128</v>
      </c>
      <c r="B615" s="533">
        <v>4710</v>
      </c>
      <c r="C615" s="534" t="s">
        <v>204</v>
      </c>
      <c r="D615" s="535">
        <v>11536</v>
      </c>
      <c r="E615" s="536" t="s">
        <v>128</v>
      </c>
      <c r="F615" s="536" t="s">
        <v>128</v>
      </c>
    </row>
    <row r="616" spans="1:6" s="537" customFormat="1">
      <c r="A616" s="532" t="s">
        <v>128</v>
      </c>
      <c r="B616" s="533">
        <v>4790</v>
      </c>
      <c r="C616" s="534" t="s">
        <v>680</v>
      </c>
      <c r="D616" s="535">
        <v>2068487</v>
      </c>
      <c r="E616" s="536" t="s">
        <v>128</v>
      </c>
      <c r="F616" s="536" t="s">
        <v>128</v>
      </c>
    </row>
    <row r="617" spans="1:6" s="537" customFormat="1">
      <c r="A617" s="532" t="s">
        <v>128</v>
      </c>
      <c r="B617" s="533">
        <v>4800</v>
      </c>
      <c r="C617" s="534" t="s">
        <v>681</v>
      </c>
      <c r="D617" s="535">
        <v>121449</v>
      </c>
      <c r="E617" s="536" t="s">
        <v>128</v>
      </c>
      <c r="F617" s="536" t="s">
        <v>128</v>
      </c>
    </row>
    <row r="618" spans="1:6" s="527" customFormat="1">
      <c r="A618" s="528">
        <v>80146</v>
      </c>
      <c r="B618" s="529" t="s">
        <v>128</v>
      </c>
      <c r="C618" s="530" t="s">
        <v>81</v>
      </c>
      <c r="D618" s="531">
        <f>SUM(D619:D641)</f>
        <v>15631571</v>
      </c>
      <c r="E618" s="526" t="s">
        <v>128</v>
      </c>
      <c r="F618" s="526" t="s">
        <v>128</v>
      </c>
    </row>
    <row r="619" spans="1:6" s="537" customFormat="1">
      <c r="A619" s="532" t="s">
        <v>128</v>
      </c>
      <c r="B619" s="533">
        <v>3020</v>
      </c>
      <c r="C619" s="534" t="s">
        <v>664</v>
      </c>
      <c r="D619" s="535">
        <v>10500</v>
      </c>
      <c r="E619" s="536" t="s">
        <v>128</v>
      </c>
      <c r="F619" s="536" t="s">
        <v>128</v>
      </c>
    </row>
    <row r="620" spans="1:6" s="537" customFormat="1">
      <c r="A620" s="532" t="s">
        <v>128</v>
      </c>
      <c r="B620" s="533">
        <v>4010</v>
      </c>
      <c r="C620" s="534" t="s">
        <v>188</v>
      </c>
      <c r="D620" s="535">
        <v>2705449</v>
      </c>
      <c r="E620" s="536" t="s">
        <v>128</v>
      </c>
      <c r="F620" s="536" t="s">
        <v>128</v>
      </c>
    </row>
    <row r="621" spans="1:6" s="537" customFormat="1">
      <c r="A621" s="532" t="s">
        <v>128</v>
      </c>
      <c r="B621" s="533">
        <v>4040</v>
      </c>
      <c r="C621" s="534" t="s">
        <v>189</v>
      </c>
      <c r="D621" s="535">
        <v>207124</v>
      </c>
      <c r="E621" s="536" t="s">
        <v>128</v>
      </c>
      <c r="F621" s="536" t="s">
        <v>128</v>
      </c>
    </row>
    <row r="622" spans="1:6" s="537" customFormat="1">
      <c r="A622" s="532" t="s">
        <v>128</v>
      </c>
      <c r="B622" s="533">
        <v>4110</v>
      </c>
      <c r="C622" s="534" t="s">
        <v>190</v>
      </c>
      <c r="D622" s="535">
        <v>1596841</v>
      </c>
      <c r="E622" s="536" t="s">
        <v>128</v>
      </c>
      <c r="F622" s="536" t="s">
        <v>128</v>
      </c>
    </row>
    <row r="623" spans="1:6" s="537" customFormat="1">
      <c r="A623" s="532" t="s">
        <v>128</v>
      </c>
      <c r="B623" s="533">
        <v>4120</v>
      </c>
      <c r="C623" s="534" t="s">
        <v>191</v>
      </c>
      <c r="D623" s="535">
        <v>130486</v>
      </c>
      <c r="E623" s="536" t="s">
        <v>128</v>
      </c>
      <c r="F623" s="536" t="s">
        <v>128</v>
      </c>
    </row>
    <row r="624" spans="1:6" s="537" customFormat="1">
      <c r="A624" s="532" t="s">
        <v>128</v>
      </c>
      <c r="B624" s="533">
        <v>4140</v>
      </c>
      <c r="C624" s="534" t="s">
        <v>665</v>
      </c>
      <c r="D624" s="535">
        <v>32450</v>
      </c>
      <c r="E624" s="536" t="s">
        <v>128</v>
      </c>
      <c r="F624" s="536" t="s">
        <v>128</v>
      </c>
    </row>
    <row r="625" spans="1:6" s="537" customFormat="1">
      <c r="A625" s="532" t="s">
        <v>128</v>
      </c>
      <c r="B625" s="533">
        <v>4170</v>
      </c>
      <c r="C625" s="534" t="s">
        <v>192</v>
      </c>
      <c r="D625" s="535">
        <v>3000</v>
      </c>
      <c r="E625" s="536" t="s">
        <v>128</v>
      </c>
      <c r="F625" s="536" t="s">
        <v>128</v>
      </c>
    </row>
    <row r="626" spans="1:6" s="537" customFormat="1">
      <c r="A626" s="532" t="s">
        <v>128</v>
      </c>
      <c r="B626" s="533">
        <v>4210</v>
      </c>
      <c r="C626" s="534" t="s">
        <v>194</v>
      </c>
      <c r="D626" s="535">
        <v>73000</v>
      </c>
      <c r="E626" s="536" t="s">
        <v>128</v>
      </c>
      <c r="F626" s="536" t="s">
        <v>128</v>
      </c>
    </row>
    <row r="627" spans="1:6" s="537" customFormat="1">
      <c r="A627" s="532" t="s">
        <v>128</v>
      </c>
      <c r="B627" s="533">
        <v>4240</v>
      </c>
      <c r="C627" s="534" t="s">
        <v>679</v>
      </c>
      <c r="D627" s="535">
        <v>13800</v>
      </c>
      <c r="E627" s="536" t="s">
        <v>128</v>
      </c>
      <c r="F627" s="536" t="s">
        <v>128</v>
      </c>
    </row>
    <row r="628" spans="1:6" s="537" customFormat="1">
      <c r="A628" s="532" t="s">
        <v>128</v>
      </c>
      <c r="B628" s="533">
        <v>4260</v>
      </c>
      <c r="C628" s="534" t="s">
        <v>640</v>
      </c>
      <c r="D628" s="535">
        <v>283500</v>
      </c>
      <c r="E628" s="536" t="s">
        <v>128</v>
      </c>
      <c r="F628" s="536" t="s">
        <v>128</v>
      </c>
    </row>
    <row r="629" spans="1:6" s="537" customFormat="1">
      <c r="A629" s="532" t="s">
        <v>128</v>
      </c>
      <c r="B629" s="533">
        <v>4270</v>
      </c>
      <c r="C629" s="534" t="s">
        <v>196</v>
      </c>
      <c r="D629" s="535">
        <v>406863</v>
      </c>
      <c r="E629" s="536" t="s">
        <v>128</v>
      </c>
      <c r="F629" s="536" t="s">
        <v>128</v>
      </c>
    </row>
    <row r="630" spans="1:6" s="537" customFormat="1">
      <c r="A630" s="532" t="s">
        <v>128</v>
      </c>
      <c r="B630" s="533">
        <v>4280</v>
      </c>
      <c r="C630" s="534" t="s">
        <v>666</v>
      </c>
      <c r="D630" s="535">
        <v>8480</v>
      </c>
      <c r="E630" s="536" t="s">
        <v>128</v>
      </c>
      <c r="F630" s="536" t="s">
        <v>128</v>
      </c>
    </row>
    <row r="631" spans="1:6" s="537" customFormat="1">
      <c r="A631" s="532" t="s">
        <v>128</v>
      </c>
      <c r="B631" s="533">
        <v>4300</v>
      </c>
      <c r="C631" s="534" t="s">
        <v>197</v>
      </c>
      <c r="D631" s="535">
        <v>571581</v>
      </c>
      <c r="E631" s="536" t="s">
        <v>128</v>
      </c>
      <c r="F631" s="536" t="s">
        <v>128</v>
      </c>
    </row>
    <row r="632" spans="1:6" s="507" customFormat="1" ht="27.75" customHeight="1">
      <c r="A632" s="502" t="s">
        <v>128</v>
      </c>
      <c r="B632" s="503">
        <v>4340</v>
      </c>
      <c r="C632" s="504" t="s">
        <v>670</v>
      </c>
      <c r="D632" s="505">
        <v>558332</v>
      </c>
      <c r="E632" s="506" t="s">
        <v>128</v>
      </c>
      <c r="F632" s="506" t="s">
        <v>128</v>
      </c>
    </row>
    <row r="633" spans="1:6" s="537" customFormat="1">
      <c r="A633" s="532" t="s">
        <v>128</v>
      </c>
      <c r="B633" s="533">
        <v>4360</v>
      </c>
      <c r="C633" s="534" t="s">
        <v>641</v>
      </c>
      <c r="D633" s="535">
        <v>54000</v>
      </c>
      <c r="E633" s="536" t="s">
        <v>128</v>
      </c>
      <c r="F633" s="536" t="s">
        <v>128</v>
      </c>
    </row>
    <row r="634" spans="1:6" s="537" customFormat="1">
      <c r="A634" s="532" t="s">
        <v>128</v>
      </c>
      <c r="B634" s="533">
        <v>4410</v>
      </c>
      <c r="C634" s="534" t="s">
        <v>198</v>
      </c>
      <c r="D634" s="535">
        <v>6600</v>
      </c>
      <c r="E634" s="536" t="s">
        <v>128</v>
      </c>
      <c r="F634" s="536" t="s">
        <v>128</v>
      </c>
    </row>
    <row r="635" spans="1:6" s="537" customFormat="1">
      <c r="A635" s="532" t="s">
        <v>128</v>
      </c>
      <c r="B635" s="533">
        <v>4430</v>
      </c>
      <c r="C635" s="534" t="s">
        <v>645</v>
      </c>
      <c r="D635" s="535">
        <v>47853</v>
      </c>
      <c r="E635" s="536" t="s">
        <v>128</v>
      </c>
      <c r="F635" s="536" t="s">
        <v>128</v>
      </c>
    </row>
    <row r="636" spans="1:6" s="537" customFormat="1">
      <c r="A636" s="532" t="s">
        <v>128</v>
      </c>
      <c r="B636" s="533">
        <v>4440</v>
      </c>
      <c r="C636" s="534" t="s">
        <v>667</v>
      </c>
      <c r="D636" s="535">
        <v>319675</v>
      </c>
      <c r="E636" s="536" t="s">
        <v>128</v>
      </c>
      <c r="F636" s="536" t="s">
        <v>128</v>
      </c>
    </row>
    <row r="637" spans="1:6" s="537" customFormat="1">
      <c r="A637" s="532" t="s">
        <v>128</v>
      </c>
      <c r="B637" s="533">
        <v>4700</v>
      </c>
      <c r="C637" s="534" t="s">
        <v>646</v>
      </c>
      <c r="D637" s="535">
        <v>6170</v>
      </c>
      <c r="E637" s="536" t="s">
        <v>128</v>
      </c>
      <c r="F637" s="536" t="s">
        <v>128</v>
      </c>
    </row>
    <row r="638" spans="1:6" s="537" customFormat="1">
      <c r="A638" s="532" t="s">
        <v>128</v>
      </c>
      <c r="B638" s="533">
        <v>4710</v>
      </c>
      <c r="C638" s="534" t="s">
        <v>204</v>
      </c>
      <c r="D638" s="535">
        <v>24699</v>
      </c>
      <c r="E638" s="536" t="s">
        <v>128</v>
      </c>
      <c r="F638" s="536" t="s">
        <v>128</v>
      </c>
    </row>
    <row r="639" spans="1:6" s="537" customFormat="1">
      <c r="A639" s="532" t="s">
        <v>128</v>
      </c>
      <c r="B639" s="533">
        <v>4790</v>
      </c>
      <c r="C639" s="534" t="s">
        <v>680</v>
      </c>
      <c r="D639" s="535">
        <v>6185102</v>
      </c>
      <c r="E639" s="536" t="s">
        <v>128</v>
      </c>
      <c r="F639" s="536" t="s">
        <v>128</v>
      </c>
    </row>
    <row r="640" spans="1:6" s="537" customFormat="1">
      <c r="A640" s="532" t="s">
        <v>128</v>
      </c>
      <c r="B640" s="533">
        <v>4800</v>
      </c>
      <c r="C640" s="534" t="s">
        <v>681</v>
      </c>
      <c r="D640" s="535">
        <v>386066</v>
      </c>
      <c r="E640" s="536" t="s">
        <v>128</v>
      </c>
      <c r="F640" s="536" t="s">
        <v>128</v>
      </c>
    </row>
    <row r="641" spans="1:6" s="537" customFormat="1">
      <c r="A641" s="532" t="s">
        <v>128</v>
      </c>
      <c r="B641" s="533">
        <v>6050</v>
      </c>
      <c r="C641" s="534" t="s">
        <v>203</v>
      </c>
      <c r="D641" s="535">
        <v>2000000</v>
      </c>
      <c r="E641" s="536" t="s">
        <v>128</v>
      </c>
      <c r="F641" s="536" t="s">
        <v>128</v>
      </c>
    </row>
    <row r="642" spans="1:6" s="527" customFormat="1" ht="14.25" customHeight="1">
      <c r="A642" s="528">
        <v>80147</v>
      </c>
      <c r="B642" s="529" t="s">
        <v>128</v>
      </c>
      <c r="C642" s="530" t="s">
        <v>82</v>
      </c>
      <c r="D642" s="531">
        <f>SUM(D643:D665)</f>
        <v>11011658</v>
      </c>
      <c r="E642" s="526" t="s">
        <v>128</v>
      </c>
      <c r="F642" s="526" t="s">
        <v>128</v>
      </c>
    </row>
    <row r="643" spans="1:6" s="537" customFormat="1">
      <c r="A643" s="532" t="s">
        <v>128</v>
      </c>
      <c r="B643" s="533">
        <v>3020</v>
      </c>
      <c r="C643" s="534" t="s">
        <v>664</v>
      </c>
      <c r="D643" s="535">
        <v>8350</v>
      </c>
      <c r="E643" s="536" t="s">
        <v>128</v>
      </c>
      <c r="F643" s="536" t="s">
        <v>128</v>
      </c>
    </row>
    <row r="644" spans="1:6" s="537" customFormat="1">
      <c r="A644" s="532" t="s">
        <v>128</v>
      </c>
      <c r="B644" s="533">
        <v>4010</v>
      </c>
      <c r="C644" s="534" t="s">
        <v>188</v>
      </c>
      <c r="D644" s="535">
        <v>2311218</v>
      </c>
      <c r="E644" s="536" t="s">
        <v>128</v>
      </c>
      <c r="F644" s="536" t="s">
        <v>128</v>
      </c>
    </row>
    <row r="645" spans="1:6" s="537" customFormat="1">
      <c r="A645" s="532" t="s">
        <v>128</v>
      </c>
      <c r="B645" s="533">
        <v>4040</v>
      </c>
      <c r="C645" s="534" t="s">
        <v>189</v>
      </c>
      <c r="D645" s="535">
        <v>171709</v>
      </c>
      <c r="E645" s="536" t="s">
        <v>128</v>
      </c>
      <c r="F645" s="536" t="s">
        <v>128</v>
      </c>
    </row>
    <row r="646" spans="1:6" s="537" customFormat="1">
      <c r="A646" s="532" t="s">
        <v>128</v>
      </c>
      <c r="B646" s="533">
        <v>4110</v>
      </c>
      <c r="C646" s="534" t="s">
        <v>190</v>
      </c>
      <c r="D646" s="535">
        <v>1206315</v>
      </c>
      <c r="E646" s="536" t="s">
        <v>128</v>
      </c>
      <c r="F646" s="536" t="s">
        <v>128</v>
      </c>
    </row>
    <row r="647" spans="1:6" s="537" customFormat="1">
      <c r="A647" s="532" t="s">
        <v>128</v>
      </c>
      <c r="B647" s="533">
        <v>4120</v>
      </c>
      <c r="C647" s="534" t="s">
        <v>191</v>
      </c>
      <c r="D647" s="535">
        <v>118388</v>
      </c>
      <c r="E647" s="536" t="s">
        <v>128</v>
      </c>
      <c r="F647" s="536" t="s">
        <v>128</v>
      </c>
    </row>
    <row r="648" spans="1:6" s="537" customFormat="1">
      <c r="A648" s="532" t="s">
        <v>128</v>
      </c>
      <c r="B648" s="533">
        <v>4170</v>
      </c>
      <c r="C648" s="534" t="s">
        <v>192</v>
      </c>
      <c r="D648" s="535">
        <v>34000</v>
      </c>
      <c r="E648" s="536" t="s">
        <v>128</v>
      </c>
      <c r="F648" s="536" t="s">
        <v>128</v>
      </c>
    </row>
    <row r="649" spans="1:6" s="537" customFormat="1">
      <c r="A649" s="532" t="s">
        <v>128</v>
      </c>
      <c r="B649" s="533">
        <v>4210</v>
      </c>
      <c r="C649" s="534" t="s">
        <v>194</v>
      </c>
      <c r="D649" s="535">
        <v>113330</v>
      </c>
      <c r="E649" s="536" t="s">
        <v>128</v>
      </c>
      <c r="F649" s="536" t="s">
        <v>128</v>
      </c>
    </row>
    <row r="650" spans="1:6" s="537" customFormat="1">
      <c r="A650" s="532" t="s">
        <v>128</v>
      </c>
      <c r="B650" s="533">
        <v>4240</v>
      </c>
      <c r="C650" s="534" t="s">
        <v>679</v>
      </c>
      <c r="D650" s="535">
        <v>147000</v>
      </c>
      <c r="E650" s="536" t="s">
        <v>128</v>
      </c>
      <c r="F650" s="536" t="s">
        <v>128</v>
      </c>
    </row>
    <row r="651" spans="1:6" s="537" customFormat="1">
      <c r="A651" s="532" t="s">
        <v>128</v>
      </c>
      <c r="B651" s="533">
        <v>4260</v>
      </c>
      <c r="C651" s="534" t="s">
        <v>640</v>
      </c>
      <c r="D651" s="535">
        <v>419962</v>
      </c>
      <c r="E651" s="536" t="s">
        <v>128</v>
      </c>
      <c r="F651" s="536" t="s">
        <v>128</v>
      </c>
    </row>
    <row r="652" spans="1:6" s="537" customFormat="1">
      <c r="A652" s="532" t="s">
        <v>128</v>
      </c>
      <c r="B652" s="533">
        <v>4270</v>
      </c>
      <c r="C652" s="534" t="s">
        <v>196</v>
      </c>
      <c r="D652" s="535">
        <v>360815</v>
      </c>
      <c r="E652" s="536" t="s">
        <v>128</v>
      </c>
      <c r="F652" s="536" t="s">
        <v>128</v>
      </c>
    </row>
    <row r="653" spans="1:6" s="537" customFormat="1">
      <c r="A653" s="532" t="s">
        <v>128</v>
      </c>
      <c r="B653" s="533">
        <v>4280</v>
      </c>
      <c r="C653" s="534" t="s">
        <v>666</v>
      </c>
      <c r="D653" s="535">
        <v>7983</v>
      </c>
      <c r="E653" s="536" t="s">
        <v>128</v>
      </c>
      <c r="F653" s="536" t="s">
        <v>128</v>
      </c>
    </row>
    <row r="654" spans="1:6" s="537" customFormat="1">
      <c r="A654" s="532" t="s">
        <v>128</v>
      </c>
      <c r="B654" s="533">
        <v>4300</v>
      </c>
      <c r="C654" s="534" t="s">
        <v>197</v>
      </c>
      <c r="D654" s="535">
        <v>180297</v>
      </c>
      <c r="E654" s="536" t="s">
        <v>128</v>
      </c>
      <c r="F654" s="536" t="s">
        <v>128</v>
      </c>
    </row>
    <row r="655" spans="1:6" s="507" customFormat="1" ht="28.5" customHeight="1">
      <c r="A655" s="502" t="s">
        <v>128</v>
      </c>
      <c r="B655" s="503">
        <v>4340</v>
      </c>
      <c r="C655" s="504" t="s">
        <v>670</v>
      </c>
      <c r="D655" s="505">
        <v>750000</v>
      </c>
      <c r="E655" s="506" t="s">
        <v>128</v>
      </c>
      <c r="F655" s="506" t="s">
        <v>128</v>
      </c>
    </row>
    <row r="656" spans="1:6" s="537" customFormat="1">
      <c r="A656" s="532" t="s">
        <v>128</v>
      </c>
      <c r="B656" s="533">
        <v>4360</v>
      </c>
      <c r="C656" s="534" t="s">
        <v>641</v>
      </c>
      <c r="D656" s="535">
        <v>23015</v>
      </c>
      <c r="E656" s="536" t="s">
        <v>128</v>
      </c>
      <c r="F656" s="536" t="s">
        <v>128</v>
      </c>
    </row>
    <row r="657" spans="1:6" s="537" customFormat="1">
      <c r="A657" s="532" t="s">
        <v>128</v>
      </c>
      <c r="B657" s="533">
        <v>4410</v>
      </c>
      <c r="C657" s="534" t="s">
        <v>198</v>
      </c>
      <c r="D657" s="535">
        <v>3500</v>
      </c>
      <c r="E657" s="536" t="s">
        <v>128</v>
      </c>
      <c r="F657" s="536" t="s">
        <v>128</v>
      </c>
    </row>
    <row r="658" spans="1:6" s="537" customFormat="1">
      <c r="A658" s="532" t="s">
        <v>128</v>
      </c>
      <c r="B658" s="533">
        <v>4430</v>
      </c>
      <c r="C658" s="534" t="s">
        <v>645</v>
      </c>
      <c r="D658" s="535">
        <v>14158</v>
      </c>
      <c r="E658" s="536" t="s">
        <v>128</v>
      </c>
      <c r="F658" s="536" t="s">
        <v>128</v>
      </c>
    </row>
    <row r="659" spans="1:6" s="537" customFormat="1">
      <c r="A659" s="532" t="s">
        <v>128</v>
      </c>
      <c r="B659" s="533">
        <v>4440</v>
      </c>
      <c r="C659" s="534" t="s">
        <v>667</v>
      </c>
      <c r="D659" s="535">
        <v>295061</v>
      </c>
      <c r="E659" s="536" t="s">
        <v>128</v>
      </c>
      <c r="F659" s="536" t="s">
        <v>128</v>
      </c>
    </row>
    <row r="660" spans="1:6" s="537" customFormat="1">
      <c r="A660" s="532" t="s">
        <v>128</v>
      </c>
      <c r="B660" s="533">
        <v>4520</v>
      </c>
      <c r="C660" s="534" t="s">
        <v>656</v>
      </c>
      <c r="D660" s="535">
        <v>4020</v>
      </c>
      <c r="E660" s="536" t="s">
        <v>128</v>
      </c>
      <c r="F660" s="536" t="s">
        <v>128</v>
      </c>
    </row>
    <row r="661" spans="1:6" s="537" customFormat="1">
      <c r="A661" s="532" t="s">
        <v>128</v>
      </c>
      <c r="B661" s="533">
        <v>4700</v>
      </c>
      <c r="C661" s="534" t="s">
        <v>646</v>
      </c>
      <c r="D661" s="535">
        <v>7200</v>
      </c>
      <c r="E661" s="536" t="s">
        <v>128</v>
      </c>
      <c r="F661" s="536" t="s">
        <v>128</v>
      </c>
    </row>
    <row r="662" spans="1:6" s="537" customFormat="1">
      <c r="A662" s="532" t="s">
        <v>128</v>
      </c>
      <c r="B662" s="533">
        <v>4710</v>
      </c>
      <c r="C662" s="534" t="s">
        <v>204</v>
      </c>
      <c r="D662" s="535">
        <v>32391</v>
      </c>
      <c r="E662" s="536" t="s">
        <v>128</v>
      </c>
      <c r="F662" s="536" t="s">
        <v>128</v>
      </c>
    </row>
    <row r="663" spans="1:6" s="537" customFormat="1">
      <c r="A663" s="532" t="s">
        <v>128</v>
      </c>
      <c r="B663" s="533">
        <v>4790</v>
      </c>
      <c r="C663" s="534" t="s">
        <v>680</v>
      </c>
      <c r="D663" s="535">
        <v>4462533</v>
      </c>
      <c r="E663" s="536" t="s">
        <v>128</v>
      </c>
      <c r="F663" s="536" t="s">
        <v>128</v>
      </c>
    </row>
    <row r="664" spans="1:6" s="537" customFormat="1">
      <c r="A664" s="532" t="s">
        <v>128</v>
      </c>
      <c r="B664" s="533">
        <v>4800</v>
      </c>
      <c r="C664" s="534" t="s">
        <v>681</v>
      </c>
      <c r="D664" s="535">
        <v>297413</v>
      </c>
      <c r="E664" s="536" t="s">
        <v>128</v>
      </c>
      <c r="F664" s="536" t="s">
        <v>128</v>
      </c>
    </row>
    <row r="665" spans="1:6" s="537" customFormat="1">
      <c r="A665" s="532" t="s">
        <v>128</v>
      </c>
      <c r="B665" s="533">
        <v>6050</v>
      </c>
      <c r="C665" s="534" t="s">
        <v>203</v>
      </c>
      <c r="D665" s="535">
        <v>43000</v>
      </c>
      <c r="E665" s="536" t="s">
        <v>128</v>
      </c>
      <c r="F665" s="536" t="s">
        <v>128</v>
      </c>
    </row>
    <row r="666" spans="1:6" s="497" customFormat="1" ht="42" customHeight="1">
      <c r="A666" s="498">
        <v>80149</v>
      </c>
      <c r="B666" s="499" t="s">
        <v>128</v>
      </c>
      <c r="C666" s="500" t="s">
        <v>384</v>
      </c>
      <c r="D666" s="501">
        <f>SUM(D667:D683)</f>
        <v>4088039</v>
      </c>
      <c r="E666" s="496" t="s">
        <v>128</v>
      </c>
      <c r="F666" s="496" t="s">
        <v>128</v>
      </c>
    </row>
    <row r="667" spans="1:6" s="537" customFormat="1">
      <c r="A667" s="532" t="s">
        <v>128</v>
      </c>
      <c r="B667" s="533">
        <v>4010</v>
      </c>
      <c r="C667" s="534" t="s">
        <v>188</v>
      </c>
      <c r="D667" s="535">
        <v>533213</v>
      </c>
      <c r="E667" s="536" t="s">
        <v>128</v>
      </c>
      <c r="F667" s="536" t="s">
        <v>128</v>
      </c>
    </row>
    <row r="668" spans="1:6" s="537" customFormat="1">
      <c r="A668" s="532" t="s">
        <v>128</v>
      </c>
      <c r="B668" s="533">
        <v>4040</v>
      </c>
      <c r="C668" s="534" t="s">
        <v>189</v>
      </c>
      <c r="D668" s="535">
        <v>34101</v>
      </c>
      <c r="E668" s="536" t="s">
        <v>128</v>
      </c>
      <c r="F668" s="536" t="s">
        <v>128</v>
      </c>
    </row>
    <row r="669" spans="1:6" s="537" customFormat="1" ht="12.75" customHeight="1">
      <c r="A669" s="532" t="s">
        <v>128</v>
      </c>
      <c r="B669" s="533">
        <v>4110</v>
      </c>
      <c r="C669" s="534" t="s">
        <v>190</v>
      </c>
      <c r="D669" s="535">
        <v>546594</v>
      </c>
      <c r="E669" s="536" t="s">
        <v>128</v>
      </c>
      <c r="F669" s="536" t="s">
        <v>128</v>
      </c>
    </row>
    <row r="670" spans="1:6" s="537" customFormat="1" ht="12" customHeight="1">
      <c r="A670" s="532" t="s">
        <v>128</v>
      </c>
      <c r="B670" s="533">
        <v>4120</v>
      </c>
      <c r="C670" s="534" t="s">
        <v>191</v>
      </c>
      <c r="D670" s="535">
        <v>75666</v>
      </c>
      <c r="E670" s="536" t="s">
        <v>128</v>
      </c>
      <c r="F670" s="536" t="s">
        <v>128</v>
      </c>
    </row>
    <row r="671" spans="1:6" s="537" customFormat="1" ht="15" customHeight="1">
      <c r="A671" s="532" t="s">
        <v>128</v>
      </c>
      <c r="B671" s="533">
        <v>4210</v>
      </c>
      <c r="C671" s="534" t="s">
        <v>194</v>
      </c>
      <c r="D671" s="535">
        <v>12000</v>
      </c>
      <c r="E671" s="536" t="s">
        <v>128</v>
      </c>
      <c r="F671" s="536" t="s">
        <v>128</v>
      </c>
    </row>
    <row r="672" spans="1:6" s="537" customFormat="1">
      <c r="A672" s="532" t="s">
        <v>128</v>
      </c>
      <c r="B672" s="533">
        <v>4240</v>
      </c>
      <c r="C672" s="534" t="s">
        <v>679</v>
      </c>
      <c r="D672" s="535">
        <v>4000</v>
      </c>
      <c r="E672" s="536" t="s">
        <v>128</v>
      </c>
      <c r="F672" s="536" t="s">
        <v>128</v>
      </c>
    </row>
    <row r="673" spans="1:6" s="537" customFormat="1">
      <c r="A673" s="532" t="s">
        <v>128</v>
      </c>
      <c r="B673" s="533">
        <v>4260</v>
      </c>
      <c r="C673" s="534" t="s">
        <v>640</v>
      </c>
      <c r="D673" s="535">
        <v>154000</v>
      </c>
      <c r="E673" s="536" t="s">
        <v>128</v>
      </c>
      <c r="F673" s="536" t="s">
        <v>128</v>
      </c>
    </row>
    <row r="674" spans="1:6" s="537" customFormat="1">
      <c r="A674" s="532" t="s">
        <v>128</v>
      </c>
      <c r="B674" s="533">
        <v>4270</v>
      </c>
      <c r="C674" s="534" t="s">
        <v>196</v>
      </c>
      <c r="D674" s="535">
        <v>3000</v>
      </c>
      <c r="E674" s="536" t="s">
        <v>128</v>
      </c>
      <c r="F674" s="536" t="s">
        <v>128</v>
      </c>
    </row>
    <row r="675" spans="1:6" s="537" customFormat="1">
      <c r="A675" s="532" t="s">
        <v>128</v>
      </c>
      <c r="B675" s="533">
        <v>4280</v>
      </c>
      <c r="C675" s="534" t="s">
        <v>666</v>
      </c>
      <c r="D675" s="535">
        <v>2950</v>
      </c>
      <c r="E675" s="536" t="s">
        <v>128</v>
      </c>
      <c r="F675" s="536" t="s">
        <v>128</v>
      </c>
    </row>
    <row r="676" spans="1:6" s="537" customFormat="1">
      <c r="A676" s="532" t="s">
        <v>128</v>
      </c>
      <c r="B676" s="533">
        <v>4300</v>
      </c>
      <c r="C676" s="534" t="s">
        <v>197</v>
      </c>
      <c r="D676" s="535">
        <v>29000</v>
      </c>
      <c r="E676" s="536" t="s">
        <v>128</v>
      </c>
      <c r="F676" s="536" t="s">
        <v>128</v>
      </c>
    </row>
    <row r="677" spans="1:6" s="537" customFormat="1">
      <c r="A677" s="532" t="s">
        <v>128</v>
      </c>
      <c r="B677" s="533">
        <v>4360</v>
      </c>
      <c r="C677" s="534" t="s">
        <v>641</v>
      </c>
      <c r="D677" s="535">
        <v>3100</v>
      </c>
      <c r="E677" s="536" t="s">
        <v>128</v>
      </c>
      <c r="F677" s="536" t="s">
        <v>128</v>
      </c>
    </row>
    <row r="678" spans="1:6" s="537" customFormat="1">
      <c r="A678" s="542" t="s">
        <v>128</v>
      </c>
      <c r="B678" s="543">
        <v>4440</v>
      </c>
      <c r="C678" s="544" t="s">
        <v>667</v>
      </c>
      <c r="D678" s="545">
        <v>86305</v>
      </c>
      <c r="E678" s="536" t="s">
        <v>128</v>
      </c>
      <c r="F678" s="536" t="s">
        <v>128</v>
      </c>
    </row>
    <row r="679" spans="1:6" s="537" customFormat="1">
      <c r="A679" s="532" t="s">
        <v>128</v>
      </c>
      <c r="B679" s="533">
        <v>4700</v>
      </c>
      <c r="C679" s="534" t="s">
        <v>646</v>
      </c>
      <c r="D679" s="535">
        <v>1000</v>
      </c>
      <c r="E679" s="536" t="s">
        <v>128</v>
      </c>
      <c r="F679" s="536" t="s">
        <v>128</v>
      </c>
    </row>
    <row r="680" spans="1:6" s="537" customFormat="1" ht="12.75" customHeight="1">
      <c r="A680" s="532" t="s">
        <v>128</v>
      </c>
      <c r="B680" s="533">
        <v>4710</v>
      </c>
      <c r="C680" s="534" t="s">
        <v>204</v>
      </c>
      <c r="D680" s="535">
        <v>17468</v>
      </c>
      <c r="E680" s="536" t="s">
        <v>128</v>
      </c>
      <c r="F680" s="536" t="s">
        <v>128</v>
      </c>
    </row>
    <row r="681" spans="1:6" s="537" customFormat="1">
      <c r="A681" s="532" t="s">
        <v>128</v>
      </c>
      <c r="B681" s="533">
        <v>4790</v>
      </c>
      <c r="C681" s="534" t="s">
        <v>680</v>
      </c>
      <c r="D681" s="535">
        <v>2434948</v>
      </c>
      <c r="E681" s="536" t="s">
        <v>128</v>
      </c>
      <c r="F681" s="536" t="s">
        <v>128</v>
      </c>
    </row>
    <row r="682" spans="1:6" s="537" customFormat="1">
      <c r="A682" s="532" t="s">
        <v>128</v>
      </c>
      <c r="B682" s="533">
        <v>4800</v>
      </c>
      <c r="C682" s="534" t="s">
        <v>681</v>
      </c>
      <c r="D682" s="535">
        <v>138694</v>
      </c>
      <c r="E682" s="536" t="s">
        <v>128</v>
      </c>
      <c r="F682" s="536" t="s">
        <v>128</v>
      </c>
    </row>
    <row r="683" spans="1:6" s="537" customFormat="1">
      <c r="A683" s="532" t="s">
        <v>128</v>
      </c>
      <c r="B683" s="533">
        <v>6060</v>
      </c>
      <c r="C683" s="534" t="s">
        <v>263</v>
      </c>
      <c r="D683" s="535">
        <v>12000</v>
      </c>
      <c r="E683" s="536" t="s">
        <v>128</v>
      </c>
      <c r="F683" s="536" t="s">
        <v>128</v>
      </c>
    </row>
    <row r="684" spans="1:6" s="527" customFormat="1" ht="15.75" customHeight="1">
      <c r="A684" s="528">
        <v>80195</v>
      </c>
      <c r="B684" s="529" t="s">
        <v>128</v>
      </c>
      <c r="C684" s="530" t="s">
        <v>46</v>
      </c>
      <c r="D684" s="531">
        <f>SUM(D685:D704)</f>
        <v>13257285</v>
      </c>
      <c r="E684" s="526" t="s">
        <v>128</v>
      </c>
      <c r="F684" s="526" t="s">
        <v>128</v>
      </c>
    </row>
    <row r="685" spans="1:6" s="507" customFormat="1" ht="39.75" customHeight="1">
      <c r="A685" s="502" t="s">
        <v>128</v>
      </c>
      <c r="B685" s="503">
        <v>2059</v>
      </c>
      <c r="C685" s="504" t="s">
        <v>672</v>
      </c>
      <c r="D685" s="505">
        <v>676655</v>
      </c>
      <c r="E685" s="506" t="s">
        <v>128</v>
      </c>
      <c r="F685" s="506" t="s">
        <v>128</v>
      </c>
    </row>
    <row r="686" spans="1:6" s="537" customFormat="1">
      <c r="A686" s="532" t="s">
        <v>128</v>
      </c>
      <c r="B686" s="533">
        <v>3020</v>
      </c>
      <c r="C686" s="534" t="s">
        <v>664</v>
      </c>
      <c r="D686" s="535">
        <v>100000</v>
      </c>
      <c r="E686" s="536" t="s">
        <v>128</v>
      </c>
      <c r="F686" s="536" t="s">
        <v>128</v>
      </c>
    </row>
    <row r="687" spans="1:6" s="537" customFormat="1">
      <c r="A687" s="532" t="s">
        <v>128</v>
      </c>
      <c r="B687" s="533">
        <v>4010</v>
      </c>
      <c r="C687" s="534" t="s">
        <v>188</v>
      </c>
      <c r="D687" s="535">
        <v>708271</v>
      </c>
      <c r="E687" s="536" t="s">
        <v>128</v>
      </c>
      <c r="F687" s="536" t="s">
        <v>128</v>
      </c>
    </row>
    <row r="688" spans="1:6" s="537" customFormat="1">
      <c r="A688" s="532" t="s">
        <v>128</v>
      </c>
      <c r="B688" s="533">
        <v>4110</v>
      </c>
      <c r="C688" s="534" t="s">
        <v>190</v>
      </c>
      <c r="D688" s="535">
        <v>151237</v>
      </c>
      <c r="E688" s="536" t="s">
        <v>128</v>
      </c>
      <c r="F688" s="536" t="s">
        <v>128</v>
      </c>
    </row>
    <row r="689" spans="1:6" s="537" customFormat="1">
      <c r="A689" s="532" t="s">
        <v>128</v>
      </c>
      <c r="B689" s="533">
        <v>4120</v>
      </c>
      <c r="C689" s="534" t="s">
        <v>191</v>
      </c>
      <c r="D689" s="535">
        <v>21534</v>
      </c>
      <c r="E689" s="536" t="s">
        <v>128</v>
      </c>
      <c r="F689" s="536" t="s">
        <v>128</v>
      </c>
    </row>
    <row r="690" spans="1:6" s="537" customFormat="1">
      <c r="A690" s="532" t="s">
        <v>128</v>
      </c>
      <c r="B690" s="533">
        <v>4170</v>
      </c>
      <c r="C690" s="534" t="s">
        <v>192</v>
      </c>
      <c r="D690" s="535">
        <v>13300</v>
      </c>
      <c r="E690" s="536" t="s">
        <v>128</v>
      </c>
      <c r="F690" s="536" t="s">
        <v>128</v>
      </c>
    </row>
    <row r="691" spans="1:6" s="537" customFormat="1">
      <c r="A691" s="532" t="s">
        <v>128</v>
      </c>
      <c r="B691" s="533">
        <v>4190</v>
      </c>
      <c r="C691" s="534" t="s">
        <v>193</v>
      </c>
      <c r="D691" s="535">
        <v>158000</v>
      </c>
      <c r="E691" s="536" t="s">
        <v>128</v>
      </c>
      <c r="F691" s="536" t="s">
        <v>128</v>
      </c>
    </row>
    <row r="692" spans="1:6" s="537" customFormat="1">
      <c r="A692" s="532" t="s">
        <v>128</v>
      </c>
      <c r="B692" s="533">
        <v>4210</v>
      </c>
      <c r="C692" s="534" t="s">
        <v>194</v>
      </c>
      <c r="D692" s="535">
        <v>36000</v>
      </c>
      <c r="E692" s="536" t="s">
        <v>128</v>
      </c>
      <c r="F692" s="536" t="s">
        <v>128</v>
      </c>
    </row>
    <row r="693" spans="1:6" s="537" customFormat="1">
      <c r="A693" s="532" t="s">
        <v>128</v>
      </c>
      <c r="B693" s="533">
        <v>4220</v>
      </c>
      <c r="C693" s="534" t="s">
        <v>195</v>
      </c>
      <c r="D693" s="535">
        <v>5000</v>
      </c>
      <c r="E693" s="536" t="s">
        <v>128</v>
      </c>
      <c r="F693" s="536" t="s">
        <v>128</v>
      </c>
    </row>
    <row r="694" spans="1:6" s="537" customFormat="1">
      <c r="A694" s="532" t="s">
        <v>128</v>
      </c>
      <c r="B694" s="533">
        <v>4270</v>
      </c>
      <c r="C694" s="534" t="s">
        <v>196</v>
      </c>
      <c r="D694" s="535">
        <v>6808</v>
      </c>
      <c r="E694" s="536" t="s">
        <v>128</v>
      </c>
      <c r="F694" s="536" t="s">
        <v>128</v>
      </c>
    </row>
    <row r="695" spans="1:6" s="537" customFormat="1">
      <c r="A695" s="532" t="s">
        <v>128</v>
      </c>
      <c r="B695" s="533">
        <v>4300</v>
      </c>
      <c r="C695" s="534" t="s">
        <v>197</v>
      </c>
      <c r="D695" s="535">
        <v>9887528</v>
      </c>
      <c r="E695" s="536" t="s">
        <v>128</v>
      </c>
      <c r="F695" s="536" t="s">
        <v>128</v>
      </c>
    </row>
    <row r="696" spans="1:6" s="537" customFormat="1">
      <c r="A696" s="532" t="s">
        <v>128</v>
      </c>
      <c r="B696" s="533">
        <v>4400</v>
      </c>
      <c r="C696" s="534" t="s">
        <v>643</v>
      </c>
      <c r="D696" s="535">
        <v>40848</v>
      </c>
      <c r="E696" s="536" t="s">
        <v>128</v>
      </c>
      <c r="F696" s="536" t="s">
        <v>128</v>
      </c>
    </row>
    <row r="697" spans="1:6" s="537" customFormat="1">
      <c r="A697" s="532" t="s">
        <v>128</v>
      </c>
      <c r="B697" s="533">
        <v>4410</v>
      </c>
      <c r="C697" s="534" t="s">
        <v>198</v>
      </c>
      <c r="D697" s="535">
        <v>46202</v>
      </c>
      <c r="E697" s="536" t="s">
        <v>128</v>
      </c>
      <c r="F697" s="536" t="s">
        <v>128</v>
      </c>
    </row>
    <row r="698" spans="1:6" s="537" customFormat="1">
      <c r="A698" s="532" t="s">
        <v>128</v>
      </c>
      <c r="B698" s="533">
        <v>4420</v>
      </c>
      <c r="C698" s="534" t="s">
        <v>644</v>
      </c>
      <c r="D698" s="535">
        <v>60000</v>
      </c>
      <c r="E698" s="536" t="s">
        <v>128</v>
      </c>
      <c r="F698" s="536" t="s">
        <v>128</v>
      </c>
    </row>
    <row r="699" spans="1:6" s="537" customFormat="1">
      <c r="A699" s="532" t="s">
        <v>128</v>
      </c>
      <c r="B699" s="533">
        <v>4440</v>
      </c>
      <c r="C699" s="534" t="s">
        <v>667</v>
      </c>
      <c r="D699" s="535">
        <v>694837</v>
      </c>
      <c r="E699" s="536" t="s">
        <v>128</v>
      </c>
      <c r="F699" s="536" t="s">
        <v>128</v>
      </c>
    </row>
    <row r="700" spans="1:6" s="537" customFormat="1">
      <c r="A700" s="532" t="s">
        <v>128</v>
      </c>
      <c r="B700" s="533">
        <v>4700</v>
      </c>
      <c r="C700" s="534" t="s">
        <v>646</v>
      </c>
      <c r="D700" s="535">
        <v>10000</v>
      </c>
      <c r="E700" s="536" t="s">
        <v>128</v>
      </c>
      <c r="F700" s="536" t="s">
        <v>128</v>
      </c>
    </row>
    <row r="701" spans="1:6" s="537" customFormat="1">
      <c r="A701" s="532" t="s">
        <v>128</v>
      </c>
      <c r="B701" s="533">
        <v>4710</v>
      </c>
      <c r="C701" s="534" t="s">
        <v>204</v>
      </c>
      <c r="D701" s="535">
        <v>12982</v>
      </c>
      <c r="E701" s="536" t="s">
        <v>128</v>
      </c>
      <c r="F701" s="536" t="s">
        <v>128</v>
      </c>
    </row>
    <row r="702" spans="1:6" s="537" customFormat="1">
      <c r="A702" s="532" t="s">
        <v>128</v>
      </c>
      <c r="B702" s="533">
        <v>4790</v>
      </c>
      <c r="C702" s="534" t="s">
        <v>680</v>
      </c>
      <c r="D702" s="535">
        <v>157200</v>
      </c>
      <c r="E702" s="536" t="s">
        <v>128</v>
      </c>
      <c r="F702" s="536" t="s">
        <v>128</v>
      </c>
    </row>
    <row r="703" spans="1:6" s="537" customFormat="1">
      <c r="A703" s="532" t="s">
        <v>128</v>
      </c>
      <c r="B703" s="533">
        <v>6060</v>
      </c>
      <c r="C703" s="534" t="s">
        <v>263</v>
      </c>
      <c r="D703" s="535">
        <v>73617</v>
      </c>
      <c r="E703" s="536" t="s">
        <v>128</v>
      </c>
      <c r="F703" s="536" t="s">
        <v>128</v>
      </c>
    </row>
    <row r="704" spans="1:6" s="507" customFormat="1" ht="40.5" customHeight="1">
      <c r="A704" s="502" t="s">
        <v>128</v>
      </c>
      <c r="B704" s="503">
        <v>6259</v>
      </c>
      <c r="C704" s="504" t="s">
        <v>131</v>
      </c>
      <c r="D704" s="505">
        <v>397266</v>
      </c>
      <c r="E704" s="506" t="s">
        <v>128</v>
      </c>
      <c r="F704" s="506" t="s">
        <v>128</v>
      </c>
    </row>
    <row r="705" spans="1:6" s="527" customFormat="1" ht="16.5" customHeight="1">
      <c r="A705" s="522">
        <v>851</v>
      </c>
      <c r="B705" s="523" t="s">
        <v>128</v>
      </c>
      <c r="C705" s="524" t="s">
        <v>36</v>
      </c>
      <c r="D705" s="525">
        <f>D706+D711+D713+D727+D733+D740+D742</f>
        <v>105021051</v>
      </c>
      <c r="E705" s="526" t="s">
        <v>128</v>
      </c>
      <c r="F705" s="526" t="s">
        <v>128</v>
      </c>
    </row>
    <row r="706" spans="1:6" s="527" customFormat="1" ht="16.5" customHeight="1">
      <c r="A706" s="528">
        <v>85111</v>
      </c>
      <c r="B706" s="529" t="s">
        <v>128</v>
      </c>
      <c r="C706" s="530" t="s">
        <v>386</v>
      </c>
      <c r="D706" s="531">
        <f>SUM(D707:D710)</f>
        <v>33824078</v>
      </c>
      <c r="E706" s="526" t="s">
        <v>128</v>
      </c>
      <c r="F706" s="526" t="s">
        <v>128</v>
      </c>
    </row>
    <row r="707" spans="1:6" s="507" customFormat="1" ht="54" customHeight="1">
      <c r="A707" s="502" t="s">
        <v>128</v>
      </c>
      <c r="B707" s="503">
        <v>2009</v>
      </c>
      <c r="C707" s="504" t="s">
        <v>683</v>
      </c>
      <c r="D707" s="505">
        <v>481000</v>
      </c>
      <c r="E707" s="506" t="s">
        <v>128</v>
      </c>
      <c r="F707" s="506" t="s">
        <v>128</v>
      </c>
    </row>
    <row r="708" spans="1:6" s="537" customFormat="1">
      <c r="A708" s="532" t="s">
        <v>128</v>
      </c>
      <c r="B708" s="533">
        <v>6050</v>
      </c>
      <c r="C708" s="534" t="s">
        <v>203</v>
      </c>
      <c r="D708" s="535">
        <v>4743815</v>
      </c>
      <c r="E708" s="536" t="s">
        <v>128</v>
      </c>
      <c r="F708" s="536" t="s">
        <v>128</v>
      </c>
    </row>
    <row r="709" spans="1:6" s="507" customFormat="1" ht="53.25" customHeight="1">
      <c r="A709" s="502" t="s">
        <v>128</v>
      </c>
      <c r="B709" s="503">
        <v>6209</v>
      </c>
      <c r="C709" s="504" t="s">
        <v>668</v>
      </c>
      <c r="D709" s="505">
        <v>8248000</v>
      </c>
      <c r="E709" s="506" t="s">
        <v>128</v>
      </c>
      <c r="F709" s="506" t="s">
        <v>128</v>
      </c>
    </row>
    <row r="710" spans="1:6" s="507" customFormat="1" ht="27.75" customHeight="1">
      <c r="A710" s="502" t="s">
        <v>128</v>
      </c>
      <c r="B710" s="503">
        <v>6220</v>
      </c>
      <c r="C710" s="504" t="s">
        <v>260</v>
      </c>
      <c r="D710" s="505">
        <v>20351263</v>
      </c>
      <c r="E710" s="506" t="s">
        <v>128</v>
      </c>
      <c r="F710" s="506" t="s">
        <v>128</v>
      </c>
    </row>
    <row r="711" spans="1:6" s="527" customFormat="1">
      <c r="A711" s="528">
        <v>85148</v>
      </c>
      <c r="B711" s="529" t="s">
        <v>128</v>
      </c>
      <c r="C711" s="530" t="s">
        <v>387</v>
      </c>
      <c r="D711" s="531">
        <f>D712</f>
        <v>6200000</v>
      </c>
      <c r="E711" s="526" t="s">
        <v>128</v>
      </c>
      <c r="F711" s="526" t="s">
        <v>128</v>
      </c>
    </row>
    <row r="712" spans="1:6" s="537" customFormat="1">
      <c r="A712" s="532" t="s">
        <v>128</v>
      </c>
      <c r="B712" s="533">
        <v>4280</v>
      </c>
      <c r="C712" s="534" t="s">
        <v>666</v>
      </c>
      <c r="D712" s="535">
        <v>6200000</v>
      </c>
      <c r="E712" s="536" t="s">
        <v>128</v>
      </c>
      <c r="F712" s="536" t="s">
        <v>128</v>
      </c>
    </row>
    <row r="713" spans="1:6" s="527" customFormat="1">
      <c r="A713" s="528">
        <v>85149</v>
      </c>
      <c r="B713" s="529" t="s">
        <v>128</v>
      </c>
      <c r="C713" s="530" t="s">
        <v>388</v>
      </c>
      <c r="D713" s="531">
        <f>SUM(D714:D726)</f>
        <v>2354600</v>
      </c>
      <c r="E713" s="526" t="s">
        <v>128</v>
      </c>
      <c r="F713" s="526" t="s">
        <v>128</v>
      </c>
    </row>
    <row r="714" spans="1:6" s="507" customFormat="1" ht="28.5" customHeight="1">
      <c r="A714" s="502" t="s">
        <v>128</v>
      </c>
      <c r="B714" s="503">
        <v>2780</v>
      </c>
      <c r="C714" s="504" t="s">
        <v>684</v>
      </c>
      <c r="D714" s="505">
        <v>1880000</v>
      </c>
      <c r="E714" s="506" t="s">
        <v>128</v>
      </c>
      <c r="F714" s="506" t="s">
        <v>128</v>
      </c>
    </row>
    <row r="715" spans="1:6" s="537" customFormat="1">
      <c r="A715" s="532" t="s">
        <v>128</v>
      </c>
      <c r="B715" s="533">
        <v>4017</v>
      </c>
      <c r="C715" s="534" t="s">
        <v>188</v>
      </c>
      <c r="D715" s="535">
        <v>36815</v>
      </c>
      <c r="E715" s="536" t="s">
        <v>128</v>
      </c>
      <c r="F715" s="536" t="s">
        <v>128</v>
      </c>
    </row>
    <row r="716" spans="1:6" s="537" customFormat="1">
      <c r="A716" s="532" t="s">
        <v>128</v>
      </c>
      <c r="B716" s="533">
        <v>4019</v>
      </c>
      <c r="C716" s="534" t="s">
        <v>188</v>
      </c>
      <c r="D716" s="535">
        <v>6495</v>
      </c>
      <c r="E716" s="536" t="s">
        <v>128</v>
      </c>
      <c r="F716" s="536" t="s">
        <v>128</v>
      </c>
    </row>
    <row r="717" spans="1:6" s="537" customFormat="1">
      <c r="A717" s="532" t="s">
        <v>128</v>
      </c>
      <c r="B717" s="533">
        <v>4117</v>
      </c>
      <c r="C717" s="534" t="s">
        <v>190</v>
      </c>
      <c r="D717" s="535">
        <v>8024</v>
      </c>
      <c r="E717" s="536" t="s">
        <v>128</v>
      </c>
      <c r="F717" s="536" t="s">
        <v>128</v>
      </c>
    </row>
    <row r="718" spans="1:6" s="537" customFormat="1">
      <c r="A718" s="532" t="s">
        <v>128</v>
      </c>
      <c r="B718" s="533">
        <v>4119</v>
      </c>
      <c r="C718" s="534" t="s">
        <v>190</v>
      </c>
      <c r="D718" s="535">
        <v>1417</v>
      </c>
      <c r="E718" s="536" t="s">
        <v>128</v>
      </c>
      <c r="F718" s="536" t="s">
        <v>128</v>
      </c>
    </row>
    <row r="719" spans="1:6" s="537" customFormat="1">
      <c r="A719" s="532" t="s">
        <v>128</v>
      </c>
      <c r="B719" s="533">
        <v>4127</v>
      </c>
      <c r="C719" s="534" t="s">
        <v>191</v>
      </c>
      <c r="D719" s="535">
        <v>1143</v>
      </c>
      <c r="E719" s="536" t="s">
        <v>128</v>
      </c>
      <c r="F719" s="536" t="s">
        <v>128</v>
      </c>
    </row>
    <row r="720" spans="1:6" s="537" customFormat="1">
      <c r="A720" s="532" t="s">
        <v>128</v>
      </c>
      <c r="B720" s="533">
        <v>4129</v>
      </c>
      <c r="C720" s="534" t="s">
        <v>191</v>
      </c>
      <c r="D720" s="535">
        <v>202</v>
      </c>
      <c r="E720" s="536" t="s">
        <v>128</v>
      </c>
      <c r="F720" s="536" t="s">
        <v>128</v>
      </c>
    </row>
    <row r="721" spans="1:6" s="537" customFormat="1">
      <c r="A721" s="532" t="s">
        <v>128</v>
      </c>
      <c r="B721" s="533">
        <v>4217</v>
      </c>
      <c r="C721" s="534" t="s">
        <v>194</v>
      </c>
      <c r="D721" s="535">
        <v>11050</v>
      </c>
      <c r="E721" s="536" t="s">
        <v>128</v>
      </c>
      <c r="F721" s="536" t="s">
        <v>128</v>
      </c>
    </row>
    <row r="722" spans="1:6" s="537" customFormat="1">
      <c r="A722" s="532" t="s">
        <v>128</v>
      </c>
      <c r="B722" s="533">
        <v>4219</v>
      </c>
      <c r="C722" s="534" t="s">
        <v>194</v>
      </c>
      <c r="D722" s="535">
        <v>1950</v>
      </c>
      <c r="E722" s="536" t="s">
        <v>128</v>
      </c>
      <c r="F722" s="536" t="s">
        <v>128</v>
      </c>
    </row>
    <row r="723" spans="1:6" s="537" customFormat="1">
      <c r="A723" s="532" t="s">
        <v>128</v>
      </c>
      <c r="B723" s="533">
        <v>4307</v>
      </c>
      <c r="C723" s="534" t="s">
        <v>197</v>
      </c>
      <c r="D723" s="535">
        <v>345678</v>
      </c>
      <c r="E723" s="536" t="s">
        <v>128</v>
      </c>
      <c r="F723" s="536" t="s">
        <v>128</v>
      </c>
    </row>
    <row r="724" spans="1:6" s="537" customFormat="1">
      <c r="A724" s="532" t="s">
        <v>128</v>
      </c>
      <c r="B724" s="533">
        <v>4309</v>
      </c>
      <c r="C724" s="534" t="s">
        <v>197</v>
      </c>
      <c r="D724" s="535">
        <v>61002</v>
      </c>
      <c r="E724" s="536" t="s">
        <v>128</v>
      </c>
      <c r="F724" s="536" t="s">
        <v>128</v>
      </c>
    </row>
    <row r="725" spans="1:6" s="537" customFormat="1">
      <c r="A725" s="532" t="s">
        <v>128</v>
      </c>
      <c r="B725" s="533">
        <v>4717</v>
      </c>
      <c r="C725" s="534" t="s">
        <v>204</v>
      </c>
      <c r="D725" s="535">
        <v>700</v>
      </c>
      <c r="E725" s="536" t="s">
        <v>128</v>
      </c>
      <c r="F725" s="536" t="s">
        <v>128</v>
      </c>
    </row>
    <row r="726" spans="1:6" s="537" customFormat="1" ht="12.75" customHeight="1">
      <c r="A726" s="532" t="s">
        <v>128</v>
      </c>
      <c r="B726" s="533">
        <v>4719</v>
      </c>
      <c r="C726" s="534" t="s">
        <v>204</v>
      </c>
      <c r="D726" s="535">
        <v>124</v>
      </c>
      <c r="E726" s="536" t="s">
        <v>128</v>
      </c>
      <c r="F726" s="536" t="s">
        <v>128</v>
      </c>
    </row>
    <row r="727" spans="1:6" s="527" customFormat="1" ht="12.75" customHeight="1">
      <c r="A727" s="528">
        <v>85153</v>
      </c>
      <c r="B727" s="529" t="s">
        <v>128</v>
      </c>
      <c r="C727" s="530" t="s">
        <v>389</v>
      </c>
      <c r="D727" s="531">
        <f>SUM(D728:D732)</f>
        <v>480000</v>
      </c>
      <c r="E727" s="526" t="s">
        <v>128</v>
      </c>
      <c r="F727" s="526" t="s">
        <v>128</v>
      </c>
    </row>
    <row r="728" spans="1:6" s="507" customFormat="1" ht="40.5" customHeight="1">
      <c r="A728" s="502" t="s">
        <v>128</v>
      </c>
      <c r="B728" s="503">
        <v>2360</v>
      </c>
      <c r="C728" s="504" t="s">
        <v>648</v>
      </c>
      <c r="D728" s="505">
        <v>350000</v>
      </c>
      <c r="E728" s="506" t="s">
        <v>128</v>
      </c>
      <c r="F728" s="506" t="s">
        <v>128</v>
      </c>
    </row>
    <row r="729" spans="1:6" s="537" customFormat="1">
      <c r="A729" s="532" t="s">
        <v>128</v>
      </c>
      <c r="B729" s="533">
        <v>4170</v>
      </c>
      <c r="C729" s="534" t="s">
        <v>192</v>
      </c>
      <c r="D729" s="535">
        <v>14000</v>
      </c>
      <c r="E729" s="536" t="s">
        <v>128</v>
      </c>
      <c r="F729" s="536" t="s">
        <v>128</v>
      </c>
    </row>
    <row r="730" spans="1:6" s="537" customFormat="1">
      <c r="A730" s="532" t="s">
        <v>128</v>
      </c>
      <c r="B730" s="533">
        <v>4190</v>
      </c>
      <c r="C730" s="534" t="s">
        <v>193</v>
      </c>
      <c r="D730" s="535">
        <v>11000</v>
      </c>
      <c r="E730" s="536" t="s">
        <v>128</v>
      </c>
      <c r="F730" s="536" t="s">
        <v>128</v>
      </c>
    </row>
    <row r="731" spans="1:6" s="537" customFormat="1">
      <c r="A731" s="532" t="s">
        <v>128</v>
      </c>
      <c r="B731" s="533">
        <v>4210</v>
      </c>
      <c r="C731" s="534" t="s">
        <v>194</v>
      </c>
      <c r="D731" s="535">
        <v>3000</v>
      </c>
      <c r="E731" s="536" t="s">
        <v>128</v>
      </c>
      <c r="F731" s="536" t="s">
        <v>128</v>
      </c>
    </row>
    <row r="732" spans="1:6" s="537" customFormat="1">
      <c r="A732" s="532" t="s">
        <v>128</v>
      </c>
      <c r="B732" s="533">
        <v>4300</v>
      </c>
      <c r="C732" s="534" t="s">
        <v>197</v>
      </c>
      <c r="D732" s="535">
        <v>102000</v>
      </c>
      <c r="E732" s="536" t="s">
        <v>128</v>
      </c>
      <c r="F732" s="536" t="s">
        <v>128</v>
      </c>
    </row>
    <row r="733" spans="1:6" s="527" customFormat="1">
      <c r="A733" s="528">
        <v>85154</v>
      </c>
      <c r="B733" s="529" t="s">
        <v>128</v>
      </c>
      <c r="C733" s="530" t="s">
        <v>390</v>
      </c>
      <c r="D733" s="531">
        <f>SUM(D734:D739)</f>
        <v>2225000</v>
      </c>
      <c r="E733" s="526" t="s">
        <v>128</v>
      </c>
      <c r="F733" s="526" t="s">
        <v>128</v>
      </c>
    </row>
    <row r="734" spans="1:6" s="507" customFormat="1" ht="41.25" customHeight="1">
      <c r="A734" s="512" t="s">
        <v>128</v>
      </c>
      <c r="B734" s="513">
        <v>2360</v>
      </c>
      <c r="C734" s="514" t="s">
        <v>648</v>
      </c>
      <c r="D734" s="515">
        <v>330000</v>
      </c>
      <c r="E734" s="506" t="s">
        <v>128</v>
      </c>
      <c r="F734" s="506" t="s">
        <v>128</v>
      </c>
    </row>
    <row r="735" spans="1:6" s="507" customFormat="1" ht="27" customHeight="1">
      <c r="A735" s="508" t="s">
        <v>128</v>
      </c>
      <c r="B735" s="509">
        <v>2800</v>
      </c>
      <c r="C735" s="510" t="s">
        <v>202</v>
      </c>
      <c r="D735" s="511">
        <v>1425000</v>
      </c>
      <c r="E735" s="506" t="s">
        <v>128</v>
      </c>
      <c r="F735" s="506" t="s">
        <v>128</v>
      </c>
    </row>
    <row r="736" spans="1:6" s="537" customFormat="1">
      <c r="A736" s="532" t="s">
        <v>128</v>
      </c>
      <c r="B736" s="533">
        <v>4170</v>
      </c>
      <c r="C736" s="534" t="s">
        <v>192</v>
      </c>
      <c r="D736" s="535">
        <v>3000</v>
      </c>
      <c r="E736" s="536" t="s">
        <v>128</v>
      </c>
      <c r="F736" s="536" t="s">
        <v>128</v>
      </c>
    </row>
    <row r="737" spans="1:6" s="537" customFormat="1">
      <c r="A737" s="532" t="s">
        <v>128</v>
      </c>
      <c r="B737" s="533">
        <v>4210</v>
      </c>
      <c r="C737" s="534" t="s">
        <v>194</v>
      </c>
      <c r="D737" s="535">
        <v>4000</v>
      </c>
      <c r="E737" s="536" t="s">
        <v>128</v>
      </c>
      <c r="F737" s="536" t="s">
        <v>128</v>
      </c>
    </row>
    <row r="738" spans="1:6" s="537" customFormat="1">
      <c r="A738" s="532" t="s">
        <v>128</v>
      </c>
      <c r="B738" s="533">
        <v>4300</v>
      </c>
      <c r="C738" s="534" t="s">
        <v>197</v>
      </c>
      <c r="D738" s="535">
        <v>118000</v>
      </c>
      <c r="E738" s="536" t="s">
        <v>128</v>
      </c>
      <c r="F738" s="536" t="s">
        <v>128</v>
      </c>
    </row>
    <row r="739" spans="1:6" s="507" customFormat="1" ht="27.75" customHeight="1">
      <c r="A739" s="502" t="s">
        <v>128</v>
      </c>
      <c r="B739" s="503">
        <v>6220</v>
      </c>
      <c r="C739" s="504" t="s">
        <v>260</v>
      </c>
      <c r="D739" s="505">
        <v>345000</v>
      </c>
      <c r="E739" s="506" t="s">
        <v>128</v>
      </c>
      <c r="F739" s="506" t="s">
        <v>128</v>
      </c>
    </row>
    <row r="740" spans="1:6" s="527" customFormat="1">
      <c r="A740" s="528">
        <v>85157</v>
      </c>
      <c r="B740" s="529" t="s">
        <v>128</v>
      </c>
      <c r="C740" s="530" t="s">
        <v>255</v>
      </c>
      <c r="D740" s="531">
        <f>D741</f>
        <v>24591000</v>
      </c>
      <c r="E740" s="526" t="s">
        <v>128</v>
      </c>
      <c r="F740" s="526" t="s">
        <v>128</v>
      </c>
    </row>
    <row r="741" spans="1:6" s="537" customFormat="1">
      <c r="A741" s="532" t="s">
        <v>128</v>
      </c>
      <c r="B741" s="533">
        <v>4320</v>
      </c>
      <c r="C741" s="534" t="s">
        <v>255</v>
      </c>
      <c r="D741" s="535">
        <v>24591000</v>
      </c>
      <c r="E741" s="536" t="s">
        <v>128</v>
      </c>
      <c r="F741" s="536" t="s">
        <v>128</v>
      </c>
    </row>
    <row r="742" spans="1:6" s="527" customFormat="1">
      <c r="A742" s="528">
        <v>85195</v>
      </c>
      <c r="B742" s="529" t="s">
        <v>128</v>
      </c>
      <c r="C742" s="530" t="s">
        <v>46</v>
      </c>
      <c r="D742" s="531">
        <f>SUM(D743:D781)</f>
        <v>35346373</v>
      </c>
      <c r="E742" s="526" t="s">
        <v>128</v>
      </c>
      <c r="F742" s="526" t="s">
        <v>128</v>
      </c>
    </row>
    <row r="743" spans="1:6" s="507" customFormat="1" ht="54.75" customHeight="1">
      <c r="A743" s="502" t="s">
        <v>128</v>
      </c>
      <c r="B743" s="503">
        <v>2009</v>
      </c>
      <c r="C743" s="504" t="s">
        <v>683</v>
      </c>
      <c r="D743" s="505">
        <v>50000</v>
      </c>
      <c r="E743" s="506" t="s">
        <v>128</v>
      </c>
      <c r="F743" s="506" t="s">
        <v>128</v>
      </c>
    </row>
    <row r="744" spans="1:6" s="507" customFormat="1" ht="42.75" customHeight="1">
      <c r="A744" s="502" t="s">
        <v>128</v>
      </c>
      <c r="B744" s="503">
        <v>2059</v>
      </c>
      <c r="C744" s="504" t="s">
        <v>672</v>
      </c>
      <c r="D744" s="505">
        <v>25871</v>
      </c>
      <c r="E744" s="506" t="s">
        <v>128</v>
      </c>
      <c r="F744" s="506" t="s">
        <v>128</v>
      </c>
    </row>
    <row r="745" spans="1:6" s="507" customFormat="1" ht="42.75" customHeight="1">
      <c r="A745" s="502" t="s">
        <v>128</v>
      </c>
      <c r="B745" s="503">
        <v>2360</v>
      </c>
      <c r="C745" s="504" t="s">
        <v>648</v>
      </c>
      <c r="D745" s="505">
        <v>250000</v>
      </c>
      <c r="E745" s="506" t="s">
        <v>128</v>
      </c>
      <c r="F745" s="506" t="s">
        <v>128</v>
      </c>
    </row>
    <row r="746" spans="1:6" s="537" customFormat="1">
      <c r="A746" s="532" t="s">
        <v>128</v>
      </c>
      <c r="B746" s="533">
        <v>3038</v>
      </c>
      <c r="C746" s="534" t="s">
        <v>669</v>
      </c>
      <c r="D746" s="535">
        <v>4000</v>
      </c>
      <c r="E746" s="536" t="s">
        <v>128</v>
      </c>
      <c r="F746" s="536" t="s">
        <v>128</v>
      </c>
    </row>
    <row r="747" spans="1:6" s="537" customFormat="1">
      <c r="A747" s="532" t="s">
        <v>128</v>
      </c>
      <c r="B747" s="533">
        <v>3039</v>
      </c>
      <c r="C747" s="534" t="s">
        <v>669</v>
      </c>
      <c r="D747" s="535">
        <v>1000</v>
      </c>
      <c r="E747" s="536" t="s">
        <v>128</v>
      </c>
      <c r="F747" s="536" t="s">
        <v>128</v>
      </c>
    </row>
    <row r="748" spans="1:6" s="537" customFormat="1">
      <c r="A748" s="532" t="s">
        <v>128</v>
      </c>
      <c r="B748" s="533">
        <v>4017</v>
      </c>
      <c r="C748" s="534" t="s">
        <v>188</v>
      </c>
      <c r="D748" s="535">
        <v>257650</v>
      </c>
      <c r="E748" s="536" t="s">
        <v>128</v>
      </c>
      <c r="F748" s="536" t="s">
        <v>128</v>
      </c>
    </row>
    <row r="749" spans="1:6" s="537" customFormat="1">
      <c r="A749" s="532" t="s">
        <v>128</v>
      </c>
      <c r="B749" s="533">
        <v>4018</v>
      </c>
      <c r="C749" s="534" t="s">
        <v>188</v>
      </c>
      <c r="D749" s="535">
        <v>202228</v>
      </c>
      <c r="E749" s="536" t="s">
        <v>128</v>
      </c>
      <c r="F749" s="536" t="s">
        <v>128</v>
      </c>
    </row>
    <row r="750" spans="1:6" s="537" customFormat="1">
      <c r="A750" s="532" t="s">
        <v>128</v>
      </c>
      <c r="B750" s="533">
        <v>4019</v>
      </c>
      <c r="C750" s="534" t="s">
        <v>188</v>
      </c>
      <c r="D750" s="535">
        <v>96025</v>
      </c>
      <c r="E750" s="536" t="s">
        <v>128</v>
      </c>
      <c r="F750" s="536" t="s">
        <v>128</v>
      </c>
    </row>
    <row r="751" spans="1:6" s="537" customFormat="1">
      <c r="A751" s="532" t="s">
        <v>128</v>
      </c>
      <c r="B751" s="533">
        <v>4048</v>
      </c>
      <c r="C751" s="534" t="s">
        <v>189</v>
      </c>
      <c r="D751" s="535">
        <v>16126</v>
      </c>
      <c r="E751" s="536" t="s">
        <v>128</v>
      </c>
      <c r="F751" s="536" t="s">
        <v>128</v>
      </c>
    </row>
    <row r="752" spans="1:6" s="537" customFormat="1">
      <c r="A752" s="532" t="s">
        <v>128</v>
      </c>
      <c r="B752" s="533">
        <v>4049</v>
      </c>
      <c r="C752" s="534" t="s">
        <v>189</v>
      </c>
      <c r="D752" s="535">
        <v>4031</v>
      </c>
      <c r="E752" s="536" t="s">
        <v>128</v>
      </c>
      <c r="F752" s="536" t="s">
        <v>128</v>
      </c>
    </row>
    <row r="753" spans="1:6" s="537" customFormat="1">
      <c r="A753" s="532" t="s">
        <v>128</v>
      </c>
      <c r="B753" s="533">
        <v>4117</v>
      </c>
      <c r="C753" s="534" t="s">
        <v>190</v>
      </c>
      <c r="D753" s="535">
        <v>93795</v>
      </c>
      <c r="E753" s="536" t="s">
        <v>128</v>
      </c>
      <c r="F753" s="536" t="s">
        <v>128</v>
      </c>
    </row>
    <row r="754" spans="1:6" s="537" customFormat="1">
      <c r="A754" s="532" t="s">
        <v>128</v>
      </c>
      <c r="B754" s="533">
        <v>4118</v>
      </c>
      <c r="C754" s="534" t="s">
        <v>190</v>
      </c>
      <c r="D754" s="535">
        <v>37536</v>
      </c>
      <c r="E754" s="536" t="s">
        <v>128</v>
      </c>
      <c r="F754" s="536" t="s">
        <v>128</v>
      </c>
    </row>
    <row r="755" spans="1:6" s="537" customFormat="1">
      <c r="A755" s="532" t="s">
        <v>128</v>
      </c>
      <c r="B755" s="533">
        <v>4119</v>
      </c>
      <c r="C755" s="534" t="s">
        <v>190</v>
      </c>
      <c r="D755" s="535">
        <v>25934</v>
      </c>
      <c r="E755" s="536" t="s">
        <v>128</v>
      </c>
      <c r="F755" s="536" t="s">
        <v>128</v>
      </c>
    </row>
    <row r="756" spans="1:6" s="537" customFormat="1">
      <c r="A756" s="532" t="s">
        <v>128</v>
      </c>
      <c r="B756" s="533">
        <v>4127</v>
      </c>
      <c r="C756" s="534" t="s">
        <v>191</v>
      </c>
      <c r="D756" s="535">
        <v>13368</v>
      </c>
      <c r="E756" s="536" t="s">
        <v>128</v>
      </c>
      <c r="F756" s="536" t="s">
        <v>128</v>
      </c>
    </row>
    <row r="757" spans="1:6" s="537" customFormat="1">
      <c r="A757" s="532" t="s">
        <v>128</v>
      </c>
      <c r="B757" s="533">
        <v>4128</v>
      </c>
      <c r="C757" s="534" t="s">
        <v>191</v>
      </c>
      <c r="D757" s="535">
        <v>5350</v>
      </c>
      <c r="E757" s="536" t="s">
        <v>128</v>
      </c>
      <c r="F757" s="536" t="s">
        <v>128</v>
      </c>
    </row>
    <row r="758" spans="1:6" s="537" customFormat="1">
      <c r="A758" s="532" t="s">
        <v>128</v>
      </c>
      <c r="B758" s="533">
        <v>4129</v>
      </c>
      <c r="C758" s="534" t="s">
        <v>191</v>
      </c>
      <c r="D758" s="535">
        <v>3696</v>
      </c>
      <c r="E758" s="536" t="s">
        <v>128</v>
      </c>
      <c r="F758" s="536" t="s">
        <v>128</v>
      </c>
    </row>
    <row r="759" spans="1:6" s="537" customFormat="1">
      <c r="A759" s="532" t="s">
        <v>128</v>
      </c>
      <c r="B759" s="533">
        <v>4170</v>
      </c>
      <c r="C759" s="534" t="s">
        <v>192</v>
      </c>
      <c r="D759" s="535">
        <v>1000</v>
      </c>
      <c r="E759" s="536" t="s">
        <v>128</v>
      </c>
      <c r="F759" s="536" t="s">
        <v>128</v>
      </c>
    </row>
    <row r="760" spans="1:6" s="537" customFormat="1">
      <c r="A760" s="532" t="s">
        <v>128</v>
      </c>
      <c r="B760" s="533">
        <v>4190</v>
      </c>
      <c r="C760" s="534" t="s">
        <v>193</v>
      </c>
      <c r="D760" s="535">
        <v>3000</v>
      </c>
      <c r="E760" s="536" t="s">
        <v>128</v>
      </c>
      <c r="F760" s="536" t="s">
        <v>128</v>
      </c>
    </row>
    <row r="761" spans="1:6" s="537" customFormat="1">
      <c r="A761" s="532" t="s">
        <v>128</v>
      </c>
      <c r="B761" s="533">
        <v>4210</v>
      </c>
      <c r="C761" s="534" t="s">
        <v>194</v>
      </c>
      <c r="D761" s="535">
        <v>6000</v>
      </c>
      <c r="E761" s="536" t="s">
        <v>128</v>
      </c>
      <c r="F761" s="536" t="s">
        <v>128</v>
      </c>
    </row>
    <row r="762" spans="1:6" s="537" customFormat="1">
      <c r="A762" s="532" t="s">
        <v>128</v>
      </c>
      <c r="B762" s="533">
        <v>4218</v>
      </c>
      <c r="C762" s="534" t="s">
        <v>194</v>
      </c>
      <c r="D762" s="535">
        <v>8000</v>
      </c>
      <c r="E762" s="536" t="s">
        <v>128</v>
      </c>
      <c r="F762" s="536" t="s">
        <v>128</v>
      </c>
    </row>
    <row r="763" spans="1:6" s="537" customFormat="1">
      <c r="A763" s="532" t="s">
        <v>128</v>
      </c>
      <c r="B763" s="533">
        <v>4219</v>
      </c>
      <c r="C763" s="534" t="s">
        <v>194</v>
      </c>
      <c r="D763" s="535">
        <v>2000</v>
      </c>
      <c r="E763" s="536" t="s">
        <v>128</v>
      </c>
      <c r="F763" s="536" t="s">
        <v>128</v>
      </c>
    </row>
    <row r="764" spans="1:6" s="537" customFormat="1">
      <c r="A764" s="532" t="s">
        <v>128</v>
      </c>
      <c r="B764" s="533">
        <v>4228</v>
      </c>
      <c r="C764" s="534" t="s">
        <v>195</v>
      </c>
      <c r="D764" s="535">
        <v>800</v>
      </c>
      <c r="E764" s="536" t="s">
        <v>128</v>
      </c>
      <c r="F764" s="536" t="s">
        <v>128</v>
      </c>
    </row>
    <row r="765" spans="1:6" s="537" customFormat="1">
      <c r="A765" s="532" t="s">
        <v>128</v>
      </c>
      <c r="B765" s="533">
        <v>4229</v>
      </c>
      <c r="C765" s="534" t="s">
        <v>195</v>
      </c>
      <c r="D765" s="535">
        <v>200</v>
      </c>
      <c r="E765" s="536" t="s">
        <v>128</v>
      </c>
      <c r="F765" s="536" t="s">
        <v>128</v>
      </c>
    </row>
    <row r="766" spans="1:6" s="537" customFormat="1">
      <c r="A766" s="532" t="s">
        <v>128</v>
      </c>
      <c r="B766" s="533">
        <v>4300</v>
      </c>
      <c r="C766" s="534" t="s">
        <v>197</v>
      </c>
      <c r="D766" s="535">
        <v>195000</v>
      </c>
      <c r="E766" s="536" t="s">
        <v>128</v>
      </c>
      <c r="F766" s="536" t="s">
        <v>128</v>
      </c>
    </row>
    <row r="767" spans="1:6" s="537" customFormat="1">
      <c r="A767" s="532" t="s">
        <v>128</v>
      </c>
      <c r="B767" s="533">
        <v>4307</v>
      </c>
      <c r="C767" s="534" t="s">
        <v>197</v>
      </c>
      <c r="D767" s="535">
        <v>1156829</v>
      </c>
      <c r="E767" s="536" t="s">
        <v>128</v>
      </c>
      <c r="F767" s="536" t="s">
        <v>128</v>
      </c>
    </row>
    <row r="768" spans="1:6" s="537" customFormat="1">
      <c r="A768" s="532" t="s">
        <v>128</v>
      </c>
      <c r="B768" s="533">
        <v>4308</v>
      </c>
      <c r="C768" s="534" t="s">
        <v>197</v>
      </c>
      <c r="D768" s="535">
        <v>67294</v>
      </c>
      <c r="E768" s="536" t="s">
        <v>128</v>
      </c>
      <c r="F768" s="536" t="s">
        <v>128</v>
      </c>
    </row>
    <row r="769" spans="1:6" s="537" customFormat="1">
      <c r="A769" s="532" t="s">
        <v>128</v>
      </c>
      <c r="B769" s="533">
        <v>4309</v>
      </c>
      <c r="C769" s="534" t="s">
        <v>197</v>
      </c>
      <c r="D769" s="535">
        <v>220971</v>
      </c>
      <c r="E769" s="536" t="s">
        <v>128</v>
      </c>
      <c r="F769" s="536" t="s">
        <v>128</v>
      </c>
    </row>
    <row r="770" spans="1:6" s="537" customFormat="1">
      <c r="A770" s="532" t="s">
        <v>128</v>
      </c>
      <c r="B770" s="533">
        <v>4418</v>
      </c>
      <c r="C770" s="534" t="s">
        <v>198</v>
      </c>
      <c r="D770" s="535">
        <v>1600</v>
      </c>
      <c r="E770" s="536" t="s">
        <v>128</v>
      </c>
      <c r="F770" s="536" t="s">
        <v>128</v>
      </c>
    </row>
    <row r="771" spans="1:6" s="537" customFormat="1">
      <c r="A771" s="532" t="s">
        <v>128</v>
      </c>
      <c r="B771" s="533">
        <v>4419</v>
      </c>
      <c r="C771" s="534" t="s">
        <v>198</v>
      </c>
      <c r="D771" s="535">
        <v>400</v>
      </c>
      <c r="E771" s="536" t="s">
        <v>128</v>
      </c>
      <c r="F771" s="536" t="s">
        <v>128</v>
      </c>
    </row>
    <row r="772" spans="1:6" s="537" customFormat="1">
      <c r="A772" s="532" t="s">
        <v>128</v>
      </c>
      <c r="B772" s="533">
        <v>4428</v>
      </c>
      <c r="C772" s="534" t="s">
        <v>644</v>
      </c>
      <c r="D772" s="535">
        <v>61600</v>
      </c>
      <c r="E772" s="536" t="s">
        <v>128</v>
      </c>
      <c r="F772" s="536" t="s">
        <v>128</v>
      </c>
    </row>
    <row r="773" spans="1:6" s="537" customFormat="1">
      <c r="A773" s="532" t="s">
        <v>128</v>
      </c>
      <c r="B773" s="533">
        <v>4429</v>
      </c>
      <c r="C773" s="534" t="s">
        <v>644</v>
      </c>
      <c r="D773" s="535">
        <v>15400</v>
      </c>
      <c r="E773" s="536" t="s">
        <v>128</v>
      </c>
      <c r="F773" s="536" t="s">
        <v>128</v>
      </c>
    </row>
    <row r="774" spans="1:6" s="537" customFormat="1">
      <c r="A774" s="532" t="s">
        <v>128</v>
      </c>
      <c r="B774" s="533">
        <v>4438</v>
      </c>
      <c r="C774" s="534" t="s">
        <v>645</v>
      </c>
      <c r="D774" s="535">
        <v>757</v>
      </c>
      <c r="E774" s="536" t="s">
        <v>128</v>
      </c>
      <c r="F774" s="536" t="s">
        <v>128</v>
      </c>
    </row>
    <row r="775" spans="1:6" s="537" customFormat="1">
      <c r="A775" s="532" t="s">
        <v>128</v>
      </c>
      <c r="B775" s="533">
        <v>4439</v>
      </c>
      <c r="C775" s="534" t="s">
        <v>645</v>
      </c>
      <c r="D775" s="535">
        <v>189</v>
      </c>
      <c r="E775" s="536" t="s">
        <v>128</v>
      </c>
      <c r="F775" s="536" t="s">
        <v>128</v>
      </c>
    </row>
    <row r="776" spans="1:6" s="537" customFormat="1">
      <c r="A776" s="532" t="s">
        <v>128</v>
      </c>
      <c r="B776" s="533">
        <v>4708</v>
      </c>
      <c r="C776" s="534" t="s">
        <v>646</v>
      </c>
      <c r="D776" s="535">
        <v>4000</v>
      </c>
      <c r="E776" s="536" t="s">
        <v>128</v>
      </c>
      <c r="F776" s="536" t="s">
        <v>128</v>
      </c>
    </row>
    <row r="777" spans="1:6" s="537" customFormat="1">
      <c r="A777" s="532" t="s">
        <v>128</v>
      </c>
      <c r="B777" s="533">
        <v>4709</v>
      </c>
      <c r="C777" s="534" t="s">
        <v>646</v>
      </c>
      <c r="D777" s="535">
        <v>1000</v>
      </c>
      <c r="E777" s="536" t="s">
        <v>128</v>
      </c>
      <c r="F777" s="536" t="s">
        <v>128</v>
      </c>
    </row>
    <row r="778" spans="1:6" s="537" customFormat="1">
      <c r="A778" s="532" t="s">
        <v>128</v>
      </c>
      <c r="B778" s="533">
        <v>4717</v>
      </c>
      <c r="C778" s="534" t="s">
        <v>204</v>
      </c>
      <c r="D778" s="535">
        <v>8184</v>
      </c>
      <c r="E778" s="536" t="s">
        <v>128</v>
      </c>
      <c r="F778" s="536" t="s">
        <v>128</v>
      </c>
    </row>
    <row r="779" spans="1:6" s="537" customFormat="1">
      <c r="A779" s="532" t="s">
        <v>128</v>
      </c>
      <c r="B779" s="533">
        <v>4718</v>
      </c>
      <c r="C779" s="534" t="s">
        <v>204</v>
      </c>
      <c r="D779" s="535">
        <v>3276</v>
      </c>
      <c r="E779" s="536" t="s">
        <v>128</v>
      </c>
      <c r="F779" s="536" t="s">
        <v>128</v>
      </c>
    </row>
    <row r="780" spans="1:6" s="537" customFormat="1">
      <c r="A780" s="532" t="s">
        <v>128</v>
      </c>
      <c r="B780" s="533">
        <v>4719</v>
      </c>
      <c r="C780" s="534" t="s">
        <v>204</v>
      </c>
      <c r="D780" s="535">
        <v>2263</v>
      </c>
      <c r="E780" s="536" t="s">
        <v>128</v>
      </c>
      <c r="F780" s="536" t="s">
        <v>128</v>
      </c>
    </row>
    <row r="781" spans="1:6" s="537" customFormat="1" ht="12.75" customHeight="1">
      <c r="A781" s="532" t="s">
        <v>128</v>
      </c>
      <c r="B781" s="533">
        <v>6010</v>
      </c>
      <c r="C781" s="534" t="s">
        <v>659</v>
      </c>
      <c r="D781" s="535">
        <v>32500000</v>
      </c>
      <c r="E781" s="536" t="s">
        <v>128</v>
      </c>
      <c r="F781" s="536" t="s">
        <v>128</v>
      </c>
    </row>
    <row r="782" spans="1:6" s="527" customFormat="1">
      <c r="A782" s="522">
        <v>852</v>
      </c>
      <c r="B782" s="523" t="s">
        <v>128</v>
      </c>
      <c r="C782" s="524" t="s">
        <v>83</v>
      </c>
      <c r="D782" s="525">
        <f>D783+D785+D795+D824+D829</f>
        <v>34648078</v>
      </c>
      <c r="E782" s="526" t="s">
        <v>128</v>
      </c>
      <c r="F782" s="526" t="s">
        <v>128</v>
      </c>
    </row>
    <row r="783" spans="1:6" s="527" customFormat="1" ht="12.75" customHeight="1">
      <c r="A783" s="550">
        <v>85203</v>
      </c>
      <c r="B783" s="551" t="s">
        <v>128</v>
      </c>
      <c r="C783" s="552" t="s">
        <v>391</v>
      </c>
      <c r="D783" s="553">
        <f>D784</f>
        <v>204851</v>
      </c>
      <c r="E783" s="526" t="s">
        <v>128</v>
      </c>
      <c r="F783" s="526" t="s">
        <v>128</v>
      </c>
    </row>
    <row r="784" spans="1:6" s="507" customFormat="1" ht="54" customHeight="1">
      <c r="A784" s="502" t="s">
        <v>128</v>
      </c>
      <c r="B784" s="503">
        <v>2009</v>
      </c>
      <c r="C784" s="504" t="s">
        <v>683</v>
      </c>
      <c r="D784" s="505">
        <v>204851</v>
      </c>
      <c r="E784" s="506" t="s">
        <v>128</v>
      </c>
      <c r="F784" s="506" t="s">
        <v>128</v>
      </c>
    </row>
    <row r="785" spans="1:6" s="527" customFormat="1" ht="16.5" customHeight="1">
      <c r="A785" s="528">
        <v>85205</v>
      </c>
      <c r="B785" s="529" t="s">
        <v>128</v>
      </c>
      <c r="C785" s="530" t="s">
        <v>84</v>
      </c>
      <c r="D785" s="531">
        <f>SUM(D786:D794)</f>
        <v>595000</v>
      </c>
      <c r="E785" s="526" t="s">
        <v>128</v>
      </c>
      <c r="F785" s="526" t="s">
        <v>128</v>
      </c>
    </row>
    <row r="786" spans="1:6" s="507" customFormat="1" ht="43.5" customHeight="1">
      <c r="A786" s="502" t="s">
        <v>128</v>
      </c>
      <c r="B786" s="503">
        <v>2360</v>
      </c>
      <c r="C786" s="504" t="s">
        <v>648</v>
      </c>
      <c r="D786" s="505">
        <v>40000</v>
      </c>
      <c r="E786" s="506" t="s">
        <v>128</v>
      </c>
      <c r="F786" s="506" t="s">
        <v>128</v>
      </c>
    </row>
    <row r="787" spans="1:6" s="507" customFormat="1" ht="25.5">
      <c r="A787" s="502" t="s">
        <v>128</v>
      </c>
      <c r="B787" s="503">
        <v>2800</v>
      </c>
      <c r="C787" s="504" t="s">
        <v>202</v>
      </c>
      <c r="D787" s="505">
        <v>35000</v>
      </c>
      <c r="E787" s="506" t="s">
        <v>128</v>
      </c>
      <c r="F787" s="506" t="s">
        <v>128</v>
      </c>
    </row>
    <row r="788" spans="1:6" s="537" customFormat="1">
      <c r="A788" s="532" t="s">
        <v>128</v>
      </c>
      <c r="B788" s="533">
        <v>4110</v>
      </c>
      <c r="C788" s="534" t="s">
        <v>190</v>
      </c>
      <c r="D788" s="535">
        <v>7000</v>
      </c>
      <c r="E788" s="536" t="s">
        <v>128</v>
      </c>
      <c r="F788" s="536" t="s">
        <v>128</v>
      </c>
    </row>
    <row r="789" spans="1:6" s="537" customFormat="1">
      <c r="A789" s="532" t="s">
        <v>128</v>
      </c>
      <c r="B789" s="533">
        <v>4120</v>
      </c>
      <c r="C789" s="534" t="s">
        <v>191</v>
      </c>
      <c r="D789" s="535">
        <v>1500</v>
      </c>
      <c r="E789" s="536" t="s">
        <v>128</v>
      </c>
      <c r="F789" s="536" t="s">
        <v>128</v>
      </c>
    </row>
    <row r="790" spans="1:6" s="537" customFormat="1">
      <c r="A790" s="532" t="s">
        <v>128</v>
      </c>
      <c r="B790" s="533">
        <v>4170</v>
      </c>
      <c r="C790" s="534" t="s">
        <v>192</v>
      </c>
      <c r="D790" s="535">
        <v>205000</v>
      </c>
      <c r="E790" s="536" t="s">
        <v>128</v>
      </c>
      <c r="F790" s="536" t="s">
        <v>128</v>
      </c>
    </row>
    <row r="791" spans="1:6" s="537" customFormat="1">
      <c r="A791" s="542" t="s">
        <v>128</v>
      </c>
      <c r="B791" s="543">
        <v>4210</v>
      </c>
      <c r="C791" s="544" t="s">
        <v>194</v>
      </c>
      <c r="D791" s="545">
        <v>1500</v>
      </c>
      <c r="E791" s="536" t="s">
        <v>128</v>
      </c>
      <c r="F791" s="536" t="s">
        <v>128</v>
      </c>
    </row>
    <row r="792" spans="1:6" s="537" customFormat="1">
      <c r="A792" s="546" t="s">
        <v>128</v>
      </c>
      <c r="B792" s="547">
        <v>4220</v>
      </c>
      <c r="C792" s="548" t="s">
        <v>195</v>
      </c>
      <c r="D792" s="549">
        <v>500</v>
      </c>
      <c r="E792" s="536" t="s">
        <v>128</v>
      </c>
      <c r="F792" s="536" t="s">
        <v>128</v>
      </c>
    </row>
    <row r="793" spans="1:6" s="537" customFormat="1">
      <c r="A793" s="532" t="s">
        <v>128</v>
      </c>
      <c r="B793" s="533">
        <v>4300</v>
      </c>
      <c r="C793" s="534" t="s">
        <v>197</v>
      </c>
      <c r="D793" s="535">
        <v>296500</v>
      </c>
      <c r="E793" s="536" t="s">
        <v>128</v>
      </c>
      <c r="F793" s="536" t="s">
        <v>128</v>
      </c>
    </row>
    <row r="794" spans="1:6" s="537" customFormat="1">
      <c r="A794" s="532" t="s">
        <v>128</v>
      </c>
      <c r="B794" s="533">
        <v>4360</v>
      </c>
      <c r="C794" s="534" t="s">
        <v>641</v>
      </c>
      <c r="D794" s="535">
        <v>8000</v>
      </c>
      <c r="E794" s="536" t="s">
        <v>128</v>
      </c>
      <c r="F794" s="536" t="s">
        <v>128</v>
      </c>
    </row>
    <row r="795" spans="1:6" s="527" customFormat="1" ht="15" customHeight="1">
      <c r="A795" s="528">
        <v>85217</v>
      </c>
      <c r="B795" s="529" t="s">
        <v>128</v>
      </c>
      <c r="C795" s="530" t="s">
        <v>85</v>
      </c>
      <c r="D795" s="531">
        <f>SUM(D796:D823)</f>
        <v>6663357</v>
      </c>
      <c r="E795" s="526" t="s">
        <v>128</v>
      </c>
      <c r="F795" s="526" t="s">
        <v>128</v>
      </c>
    </row>
    <row r="796" spans="1:6" s="537" customFormat="1">
      <c r="A796" s="532" t="s">
        <v>128</v>
      </c>
      <c r="B796" s="533">
        <v>3020</v>
      </c>
      <c r="C796" s="534" t="s">
        <v>664</v>
      </c>
      <c r="D796" s="535">
        <v>4120</v>
      </c>
      <c r="E796" s="536" t="s">
        <v>128</v>
      </c>
      <c r="F796" s="536" t="s">
        <v>128</v>
      </c>
    </row>
    <row r="797" spans="1:6" s="537" customFormat="1">
      <c r="A797" s="532" t="s">
        <v>128</v>
      </c>
      <c r="B797" s="533">
        <v>4010</v>
      </c>
      <c r="C797" s="534" t="s">
        <v>188</v>
      </c>
      <c r="D797" s="535">
        <v>2929042</v>
      </c>
      <c r="E797" s="536" t="s">
        <v>128</v>
      </c>
      <c r="F797" s="536" t="s">
        <v>128</v>
      </c>
    </row>
    <row r="798" spans="1:6" s="537" customFormat="1">
      <c r="A798" s="532" t="s">
        <v>128</v>
      </c>
      <c r="B798" s="533">
        <v>4040</v>
      </c>
      <c r="C798" s="534" t="s">
        <v>189</v>
      </c>
      <c r="D798" s="535">
        <v>516645</v>
      </c>
      <c r="E798" s="536" t="s">
        <v>128</v>
      </c>
      <c r="F798" s="536" t="s">
        <v>128</v>
      </c>
    </row>
    <row r="799" spans="1:6" s="537" customFormat="1">
      <c r="A799" s="532" t="s">
        <v>128</v>
      </c>
      <c r="B799" s="533">
        <v>4110</v>
      </c>
      <c r="C799" s="534" t="s">
        <v>190</v>
      </c>
      <c r="D799" s="535">
        <v>571806</v>
      </c>
      <c r="E799" s="536" t="s">
        <v>128</v>
      </c>
      <c r="F799" s="536" t="s">
        <v>128</v>
      </c>
    </row>
    <row r="800" spans="1:6" s="537" customFormat="1">
      <c r="A800" s="532" t="s">
        <v>128</v>
      </c>
      <c r="B800" s="533">
        <v>4120</v>
      </c>
      <c r="C800" s="534" t="s">
        <v>191</v>
      </c>
      <c r="D800" s="535">
        <v>81496</v>
      </c>
      <c r="E800" s="536" t="s">
        <v>128</v>
      </c>
      <c r="F800" s="536" t="s">
        <v>128</v>
      </c>
    </row>
    <row r="801" spans="1:6" s="537" customFormat="1">
      <c r="A801" s="532" t="s">
        <v>128</v>
      </c>
      <c r="B801" s="533">
        <v>4140</v>
      </c>
      <c r="C801" s="534" t="s">
        <v>665</v>
      </c>
      <c r="D801" s="535">
        <v>57342</v>
      </c>
      <c r="E801" s="536" t="s">
        <v>128</v>
      </c>
      <c r="F801" s="536" t="s">
        <v>128</v>
      </c>
    </row>
    <row r="802" spans="1:6" s="537" customFormat="1">
      <c r="A802" s="532" t="s">
        <v>128</v>
      </c>
      <c r="B802" s="533">
        <v>4170</v>
      </c>
      <c r="C802" s="534" t="s">
        <v>192</v>
      </c>
      <c r="D802" s="535">
        <v>5000</v>
      </c>
      <c r="E802" s="536" t="s">
        <v>128</v>
      </c>
      <c r="F802" s="536" t="s">
        <v>128</v>
      </c>
    </row>
    <row r="803" spans="1:6" s="537" customFormat="1">
      <c r="A803" s="532" t="s">
        <v>128</v>
      </c>
      <c r="B803" s="533">
        <v>4210</v>
      </c>
      <c r="C803" s="534" t="s">
        <v>194</v>
      </c>
      <c r="D803" s="535">
        <v>105000</v>
      </c>
      <c r="E803" s="536" t="s">
        <v>128</v>
      </c>
      <c r="F803" s="536" t="s">
        <v>128</v>
      </c>
    </row>
    <row r="804" spans="1:6" s="537" customFormat="1">
      <c r="A804" s="532" t="s">
        <v>128</v>
      </c>
      <c r="B804" s="533">
        <v>4220</v>
      </c>
      <c r="C804" s="534" t="s">
        <v>195</v>
      </c>
      <c r="D804" s="535">
        <v>1000</v>
      </c>
      <c r="E804" s="536" t="s">
        <v>128</v>
      </c>
      <c r="F804" s="536" t="s">
        <v>128</v>
      </c>
    </row>
    <row r="805" spans="1:6" s="537" customFormat="1">
      <c r="A805" s="532" t="s">
        <v>128</v>
      </c>
      <c r="B805" s="533">
        <v>4260</v>
      </c>
      <c r="C805" s="534" t="s">
        <v>640</v>
      </c>
      <c r="D805" s="535">
        <v>330000</v>
      </c>
      <c r="E805" s="536" t="s">
        <v>128</v>
      </c>
      <c r="F805" s="536" t="s">
        <v>128</v>
      </c>
    </row>
    <row r="806" spans="1:6" s="537" customFormat="1">
      <c r="A806" s="532" t="s">
        <v>128</v>
      </c>
      <c r="B806" s="533">
        <v>4270</v>
      </c>
      <c r="C806" s="534" t="s">
        <v>196</v>
      </c>
      <c r="D806" s="535">
        <v>345000</v>
      </c>
      <c r="E806" s="536" t="s">
        <v>128</v>
      </c>
      <c r="F806" s="536" t="s">
        <v>128</v>
      </c>
    </row>
    <row r="807" spans="1:6" s="537" customFormat="1">
      <c r="A807" s="532" t="s">
        <v>128</v>
      </c>
      <c r="B807" s="533">
        <v>4280</v>
      </c>
      <c r="C807" s="534" t="s">
        <v>666</v>
      </c>
      <c r="D807" s="535">
        <v>4830</v>
      </c>
      <c r="E807" s="536" t="s">
        <v>128</v>
      </c>
      <c r="F807" s="536" t="s">
        <v>128</v>
      </c>
    </row>
    <row r="808" spans="1:6" s="537" customFormat="1">
      <c r="A808" s="532" t="s">
        <v>128</v>
      </c>
      <c r="B808" s="533">
        <v>4300</v>
      </c>
      <c r="C808" s="534" t="s">
        <v>197</v>
      </c>
      <c r="D808" s="535">
        <v>310000</v>
      </c>
      <c r="E808" s="536" t="s">
        <v>128</v>
      </c>
      <c r="F808" s="536" t="s">
        <v>128</v>
      </c>
    </row>
    <row r="809" spans="1:6" s="537" customFormat="1">
      <c r="A809" s="532" t="s">
        <v>128</v>
      </c>
      <c r="B809" s="533">
        <v>4360</v>
      </c>
      <c r="C809" s="534" t="s">
        <v>641</v>
      </c>
      <c r="D809" s="535">
        <v>23300</v>
      </c>
      <c r="E809" s="536" t="s">
        <v>128</v>
      </c>
      <c r="F809" s="536" t="s">
        <v>128</v>
      </c>
    </row>
    <row r="810" spans="1:6" s="537" customFormat="1">
      <c r="A810" s="532" t="s">
        <v>128</v>
      </c>
      <c r="B810" s="533">
        <v>4380</v>
      </c>
      <c r="C810" s="534" t="s">
        <v>642</v>
      </c>
      <c r="D810" s="535">
        <v>6500</v>
      </c>
      <c r="E810" s="536" t="s">
        <v>128</v>
      </c>
      <c r="F810" s="536" t="s">
        <v>128</v>
      </c>
    </row>
    <row r="811" spans="1:6" s="537" customFormat="1">
      <c r="A811" s="532" t="s">
        <v>128</v>
      </c>
      <c r="B811" s="533">
        <v>4390</v>
      </c>
      <c r="C811" s="534" t="s">
        <v>651</v>
      </c>
      <c r="D811" s="535">
        <v>60000</v>
      </c>
      <c r="E811" s="536" t="s">
        <v>128</v>
      </c>
      <c r="F811" s="536" t="s">
        <v>128</v>
      </c>
    </row>
    <row r="812" spans="1:6" s="537" customFormat="1">
      <c r="A812" s="532" t="s">
        <v>128</v>
      </c>
      <c r="B812" s="533">
        <v>4410</v>
      </c>
      <c r="C812" s="534" t="s">
        <v>198</v>
      </c>
      <c r="D812" s="535">
        <v>12000</v>
      </c>
      <c r="E812" s="536" t="s">
        <v>128</v>
      </c>
      <c r="F812" s="536" t="s">
        <v>128</v>
      </c>
    </row>
    <row r="813" spans="1:6" s="537" customFormat="1">
      <c r="A813" s="532" t="s">
        <v>128</v>
      </c>
      <c r="B813" s="533">
        <v>4420</v>
      </c>
      <c r="C813" s="534" t="s">
        <v>644</v>
      </c>
      <c r="D813" s="535">
        <v>15000</v>
      </c>
      <c r="E813" s="536" t="s">
        <v>128</v>
      </c>
      <c r="F813" s="536" t="s">
        <v>128</v>
      </c>
    </row>
    <row r="814" spans="1:6" s="537" customFormat="1">
      <c r="A814" s="532" t="s">
        <v>128</v>
      </c>
      <c r="B814" s="533">
        <v>4430</v>
      </c>
      <c r="C814" s="534" t="s">
        <v>645</v>
      </c>
      <c r="D814" s="535">
        <v>17000</v>
      </c>
      <c r="E814" s="536" t="s">
        <v>128</v>
      </c>
      <c r="F814" s="536" t="s">
        <v>128</v>
      </c>
    </row>
    <row r="815" spans="1:6" s="537" customFormat="1">
      <c r="A815" s="532" t="s">
        <v>128</v>
      </c>
      <c r="B815" s="533">
        <v>4440</v>
      </c>
      <c r="C815" s="534" t="s">
        <v>667</v>
      </c>
      <c r="D815" s="535">
        <v>68598</v>
      </c>
      <c r="E815" s="536" t="s">
        <v>128</v>
      </c>
      <c r="F815" s="536" t="s">
        <v>128</v>
      </c>
    </row>
    <row r="816" spans="1:6" s="537" customFormat="1">
      <c r="A816" s="532" t="s">
        <v>128</v>
      </c>
      <c r="B816" s="533">
        <v>4480</v>
      </c>
      <c r="C816" s="534" t="s">
        <v>649</v>
      </c>
      <c r="D816" s="535">
        <v>91169</v>
      </c>
      <c r="E816" s="536" t="s">
        <v>128</v>
      </c>
      <c r="F816" s="536" t="s">
        <v>128</v>
      </c>
    </row>
    <row r="817" spans="1:6" s="537" customFormat="1">
      <c r="A817" s="532" t="s">
        <v>128</v>
      </c>
      <c r="B817" s="533">
        <v>4510</v>
      </c>
      <c r="C817" s="534" t="s">
        <v>655</v>
      </c>
      <c r="D817" s="535">
        <v>300</v>
      </c>
      <c r="E817" s="536" t="s">
        <v>128</v>
      </c>
      <c r="F817" s="536" t="s">
        <v>128</v>
      </c>
    </row>
    <row r="818" spans="1:6" s="537" customFormat="1">
      <c r="A818" s="532" t="s">
        <v>128</v>
      </c>
      <c r="B818" s="533">
        <v>4520</v>
      </c>
      <c r="C818" s="534" t="s">
        <v>656</v>
      </c>
      <c r="D818" s="535">
        <v>118042</v>
      </c>
      <c r="E818" s="536" t="s">
        <v>128</v>
      </c>
      <c r="F818" s="536" t="s">
        <v>128</v>
      </c>
    </row>
    <row r="819" spans="1:6" s="537" customFormat="1">
      <c r="A819" s="532" t="s">
        <v>128</v>
      </c>
      <c r="B819" s="533">
        <v>4540</v>
      </c>
      <c r="C819" s="534" t="s">
        <v>661</v>
      </c>
      <c r="D819" s="535">
        <v>7000</v>
      </c>
      <c r="E819" s="536" t="s">
        <v>128</v>
      </c>
      <c r="F819" s="536" t="s">
        <v>128</v>
      </c>
    </row>
    <row r="820" spans="1:6" s="537" customFormat="1">
      <c r="A820" s="532" t="s">
        <v>128</v>
      </c>
      <c r="B820" s="533">
        <v>4700</v>
      </c>
      <c r="C820" s="534" t="s">
        <v>646</v>
      </c>
      <c r="D820" s="535">
        <v>12000</v>
      </c>
      <c r="E820" s="536" t="s">
        <v>128</v>
      </c>
      <c r="F820" s="536" t="s">
        <v>128</v>
      </c>
    </row>
    <row r="821" spans="1:6" s="537" customFormat="1">
      <c r="A821" s="532" t="s">
        <v>128</v>
      </c>
      <c r="B821" s="533">
        <v>4710</v>
      </c>
      <c r="C821" s="534" t="s">
        <v>204</v>
      </c>
      <c r="D821" s="535">
        <v>49897</v>
      </c>
      <c r="E821" s="536" t="s">
        <v>128</v>
      </c>
      <c r="F821" s="536" t="s">
        <v>128</v>
      </c>
    </row>
    <row r="822" spans="1:6" s="537" customFormat="1">
      <c r="A822" s="532" t="s">
        <v>128</v>
      </c>
      <c r="B822" s="533">
        <v>6050</v>
      </c>
      <c r="C822" s="534" t="s">
        <v>203</v>
      </c>
      <c r="D822" s="535">
        <v>545000</v>
      </c>
      <c r="E822" s="536" t="s">
        <v>128</v>
      </c>
      <c r="F822" s="536" t="s">
        <v>128</v>
      </c>
    </row>
    <row r="823" spans="1:6" s="537" customFormat="1">
      <c r="A823" s="532" t="s">
        <v>128</v>
      </c>
      <c r="B823" s="533">
        <v>6060</v>
      </c>
      <c r="C823" s="534" t="s">
        <v>263</v>
      </c>
      <c r="D823" s="535">
        <v>376270</v>
      </c>
      <c r="E823" s="536" t="s">
        <v>128</v>
      </c>
      <c r="F823" s="536" t="s">
        <v>128</v>
      </c>
    </row>
    <row r="824" spans="1:6" s="527" customFormat="1" ht="15.75" customHeight="1">
      <c r="A824" s="528">
        <v>85231</v>
      </c>
      <c r="B824" s="529" t="s">
        <v>128</v>
      </c>
      <c r="C824" s="530" t="s">
        <v>392</v>
      </c>
      <c r="D824" s="531">
        <f>SUM(D825:D828)</f>
        <v>800000</v>
      </c>
      <c r="E824" s="526" t="s">
        <v>128</v>
      </c>
      <c r="F824" s="526" t="s">
        <v>128</v>
      </c>
    </row>
    <row r="825" spans="1:6" s="507" customFormat="1" ht="27.75" customHeight="1">
      <c r="A825" s="502" t="s">
        <v>128</v>
      </c>
      <c r="B825" s="503">
        <v>2340</v>
      </c>
      <c r="C825" s="504" t="s">
        <v>685</v>
      </c>
      <c r="D825" s="505">
        <v>250000</v>
      </c>
      <c r="E825" s="506" t="s">
        <v>128</v>
      </c>
      <c r="F825" s="506" t="s">
        <v>128</v>
      </c>
    </row>
    <row r="826" spans="1:6" s="507" customFormat="1" ht="28.5" customHeight="1">
      <c r="A826" s="502" t="s">
        <v>128</v>
      </c>
      <c r="B826" s="503">
        <v>4350</v>
      </c>
      <c r="C826" s="504" t="s">
        <v>686</v>
      </c>
      <c r="D826" s="505">
        <v>200000</v>
      </c>
      <c r="E826" s="506" t="s">
        <v>128</v>
      </c>
      <c r="F826" s="506" t="s">
        <v>128</v>
      </c>
    </row>
    <row r="827" spans="1:6" s="537" customFormat="1">
      <c r="A827" s="532" t="s">
        <v>128</v>
      </c>
      <c r="B827" s="533">
        <v>4370</v>
      </c>
      <c r="C827" s="534" t="s">
        <v>687</v>
      </c>
      <c r="D827" s="535">
        <v>330000</v>
      </c>
      <c r="E827" s="536" t="s">
        <v>128</v>
      </c>
      <c r="F827" s="536" t="s">
        <v>128</v>
      </c>
    </row>
    <row r="828" spans="1:6" s="537" customFormat="1">
      <c r="A828" s="532" t="s">
        <v>128</v>
      </c>
      <c r="B828" s="533">
        <v>4860</v>
      </c>
      <c r="C828" s="534" t="s">
        <v>688</v>
      </c>
      <c r="D828" s="535">
        <v>20000</v>
      </c>
      <c r="E828" s="536" t="s">
        <v>128</v>
      </c>
      <c r="F828" s="536" t="s">
        <v>128</v>
      </c>
    </row>
    <row r="829" spans="1:6" s="527" customFormat="1" ht="15.75" customHeight="1">
      <c r="A829" s="528">
        <v>85295</v>
      </c>
      <c r="B829" s="529" t="s">
        <v>128</v>
      </c>
      <c r="C829" s="530" t="s">
        <v>46</v>
      </c>
      <c r="D829" s="531">
        <f>SUM(D830:D869)</f>
        <v>26384870</v>
      </c>
      <c r="E829" s="526" t="s">
        <v>128</v>
      </c>
      <c r="F829" s="526" t="s">
        <v>128</v>
      </c>
    </row>
    <row r="830" spans="1:6" s="507" customFormat="1" ht="54.75" customHeight="1">
      <c r="A830" s="502" t="s">
        <v>128</v>
      </c>
      <c r="B830" s="503">
        <v>2007</v>
      </c>
      <c r="C830" s="504" t="s">
        <v>683</v>
      </c>
      <c r="D830" s="505">
        <v>535142</v>
      </c>
      <c r="E830" s="506" t="s">
        <v>128</v>
      </c>
      <c r="F830" s="506" t="s">
        <v>128</v>
      </c>
    </row>
    <row r="831" spans="1:6" s="507" customFormat="1" ht="54.75" customHeight="1">
      <c r="A831" s="502" t="s">
        <v>128</v>
      </c>
      <c r="B831" s="503">
        <v>2009</v>
      </c>
      <c r="C831" s="504" t="s">
        <v>683</v>
      </c>
      <c r="D831" s="505">
        <v>2452958</v>
      </c>
      <c r="E831" s="506" t="s">
        <v>128</v>
      </c>
      <c r="F831" s="506" t="s">
        <v>128</v>
      </c>
    </row>
    <row r="832" spans="1:6" s="507" customFormat="1" ht="44.25" customHeight="1">
      <c r="A832" s="502" t="s">
        <v>128</v>
      </c>
      <c r="B832" s="503">
        <v>2057</v>
      </c>
      <c r="C832" s="504" t="s">
        <v>672</v>
      </c>
      <c r="D832" s="505">
        <v>1014081</v>
      </c>
      <c r="E832" s="506" t="s">
        <v>128</v>
      </c>
      <c r="F832" s="506" t="s">
        <v>128</v>
      </c>
    </row>
    <row r="833" spans="1:6" s="507" customFormat="1" ht="44.25" customHeight="1">
      <c r="A833" s="502" t="s">
        <v>128</v>
      </c>
      <c r="B833" s="503">
        <v>2059</v>
      </c>
      <c r="C833" s="504" t="s">
        <v>672</v>
      </c>
      <c r="D833" s="505">
        <v>926271</v>
      </c>
      <c r="E833" s="506" t="s">
        <v>128</v>
      </c>
      <c r="F833" s="506" t="s">
        <v>128</v>
      </c>
    </row>
    <row r="834" spans="1:6" s="537" customFormat="1">
      <c r="A834" s="532" t="s">
        <v>128</v>
      </c>
      <c r="B834" s="533">
        <v>3040</v>
      </c>
      <c r="C834" s="534" t="s">
        <v>671</v>
      </c>
      <c r="D834" s="535">
        <v>45000</v>
      </c>
      <c r="E834" s="536" t="s">
        <v>128</v>
      </c>
      <c r="F834" s="536" t="s">
        <v>128</v>
      </c>
    </row>
    <row r="835" spans="1:6" s="537" customFormat="1">
      <c r="A835" s="532" t="s">
        <v>128</v>
      </c>
      <c r="B835" s="533">
        <v>4017</v>
      </c>
      <c r="C835" s="534" t="s">
        <v>188</v>
      </c>
      <c r="D835" s="535">
        <v>519100</v>
      </c>
      <c r="E835" s="536" t="s">
        <v>128</v>
      </c>
      <c r="F835" s="536" t="s">
        <v>128</v>
      </c>
    </row>
    <row r="836" spans="1:6" s="537" customFormat="1">
      <c r="A836" s="532" t="s">
        <v>128</v>
      </c>
      <c r="B836" s="533">
        <v>4019</v>
      </c>
      <c r="C836" s="534" t="s">
        <v>188</v>
      </c>
      <c r="D836" s="535">
        <v>61071</v>
      </c>
      <c r="E836" s="536" t="s">
        <v>128</v>
      </c>
      <c r="F836" s="536" t="s">
        <v>128</v>
      </c>
    </row>
    <row r="837" spans="1:6" s="537" customFormat="1">
      <c r="A837" s="532" t="s">
        <v>128</v>
      </c>
      <c r="B837" s="533">
        <v>4117</v>
      </c>
      <c r="C837" s="534" t="s">
        <v>190</v>
      </c>
      <c r="D837" s="535">
        <v>94759</v>
      </c>
      <c r="E837" s="536" t="s">
        <v>128</v>
      </c>
      <c r="F837" s="536" t="s">
        <v>128</v>
      </c>
    </row>
    <row r="838" spans="1:6" s="537" customFormat="1">
      <c r="A838" s="532" t="s">
        <v>128</v>
      </c>
      <c r="B838" s="533">
        <v>4119</v>
      </c>
      <c r="C838" s="534" t="s">
        <v>190</v>
      </c>
      <c r="D838" s="535">
        <v>11149</v>
      </c>
      <c r="E838" s="536" t="s">
        <v>128</v>
      </c>
      <c r="F838" s="536" t="s">
        <v>128</v>
      </c>
    </row>
    <row r="839" spans="1:6" s="537" customFormat="1">
      <c r="A839" s="532" t="s">
        <v>128</v>
      </c>
      <c r="B839" s="533">
        <v>4127</v>
      </c>
      <c r="C839" s="534" t="s">
        <v>191</v>
      </c>
      <c r="D839" s="535">
        <v>13485</v>
      </c>
      <c r="E839" s="536" t="s">
        <v>128</v>
      </c>
      <c r="F839" s="536" t="s">
        <v>128</v>
      </c>
    </row>
    <row r="840" spans="1:6" s="537" customFormat="1">
      <c r="A840" s="532" t="s">
        <v>128</v>
      </c>
      <c r="B840" s="533">
        <v>4129</v>
      </c>
      <c r="C840" s="534" t="s">
        <v>191</v>
      </c>
      <c r="D840" s="535">
        <v>1586</v>
      </c>
      <c r="E840" s="536" t="s">
        <v>128</v>
      </c>
      <c r="F840" s="536" t="s">
        <v>128</v>
      </c>
    </row>
    <row r="841" spans="1:6" s="537" customFormat="1">
      <c r="A841" s="532" t="s">
        <v>128</v>
      </c>
      <c r="B841" s="533">
        <v>4177</v>
      </c>
      <c r="C841" s="534" t="s">
        <v>192</v>
      </c>
      <c r="D841" s="535">
        <v>34000</v>
      </c>
      <c r="E841" s="536" t="s">
        <v>128</v>
      </c>
      <c r="F841" s="536" t="s">
        <v>128</v>
      </c>
    </row>
    <row r="842" spans="1:6" s="537" customFormat="1">
      <c r="A842" s="532" t="s">
        <v>128</v>
      </c>
      <c r="B842" s="533">
        <v>4179</v>
      </c>
      <c r="C842" s="534" t="s">
        <v>192</v>
      </c>
      <c r="D842" s="535">
        <v>4000</v>
      </c>
      <c r="E842" s="536" t="s">
        <v>128</v>
      </c>
      <c r="F842" s="536" t="s">
        <v>128</v>
      </c>
    </row>
    <row r="843" spans="1:6" s="537" customFormat="1">
      <c r="A843" s="532" t="s">
        <v>128</v>
      </c>
      <c r="B843" s="533">
        <v>4217</v>
      </c>
      <c r="C843" s="534" t="s">
        <v>194</v>
      </c>
      <c r="D843" s="535">
        <v>47260</v>
      </c>
      <c r="E843" s="536" t="s">
        <v>128</v>
      </c>
      <c r="F843" s="536" t="s">
        <v>128</v>
      </c>
    </row>
    <row r="844" spans="1:6" s="537" customFormat="1">
      <c r="A844" s="532" t="s">
        <v>128</v>
      </c>
      <c r="B844" s="533">
        <v>4219</v>
      </c>
      <c r="C844" s="534" t="s">
        <v>194</v>
      </c>
      <c r="D844" s="535">
        <v>5560</v>
      </c>
      <c r="E844" s="536" t="s">
        <v>128</v>
      </c>
      <c r="F844" s="536" t="s">
        <v>128</v>
      </c>
    </row>
    <row r="845" spans="1:6" s="537" customFormat="1">
      <c r="A845" s="532" t="s">
        <v>128</v>
      </c>
      <c r="B845" s="533">
        <v>4227</v>
      </c>
      <c r="C845" s="534" t="s">
        <v>195</v>
      </c>
      <c r="D845" s="535">
        <v>3232</v>
      </c>
      <c r="E845" s="536" t="s">
        <v>128</v>
      </c>
      <c r="F845" s="536" t="s">
        <v>128</v>
      </c>
    </row>
    <row r="846" spans="1:6" s="537" customFormat="1">
      <c r="A846" s="532" t="s">
        <v>128</v>
      </c>
      <c r="B846" s="533">
        <v>4229</v>
      </c>
      <c r="C846" s="534" t="s">
        <v>195</v>
      </c>
      <c r="D846" s="535">
        <v>380</v>
      </c>
      <c r="E846" s="536" t="s">
        <v>128</v>
      </c>
      <c r="F846" s="536" t="s">
        <v>128</v>
      </c>
    </row>
    <row r="847" spans="1:6" s="537" customFormat="1">
      <c r="A847" s="532" t="s">
        <v>128</v>
      </c>
      <c r="B847" s="533">
        <v>4267</v>
      </c>
      <c r="C847" s="534" t="s">
        <v>640</v>
      </c>
      <c r="D847" s="535">
        <v>6263</v>
      </c>
      <c r="E847" s="536" t="s">
        <v>128</v>
      </c>
      <c r="F847" s="536" t="s">
        <v>128</v>
      </c>
    </row>
    <row r="848" spans="1:6" s="537" customFormat="1">
      <c r="A848" s="532" t="s">
        <v>128</v>
      </c>
      <c r="B848" s="533">
        <v>4269</v>
      </c>
      <c r="C848" s="534" t="s">
        <v>640</v>
      </c>
      <c r="D848" s="535">
        <v>737</v>
      </c>
      <c r="E848" s="536" t="s">
        <v>128</v>
      </c>
      <c r="F848" s="536" t="s">
        <v>128</v>
      </c>
    </row>
    <row r="849" spans="1:6" s="537" customFormat="1">
      <c r="A849" s="532" t="s">
        <v>128</v>
      </c>
      <c r="B849" s="533">
        <v>4277</v>
      </c>
      <c r="C849" s="534" t="s">
        <v>196</v>
      </c>
      <c r="D849" s="535">
        <v>895</v>
      </c>
      <c r="E849" s="536" t="s">
        <v>128</v>
      </c>
      <c r="F849" s="536" t="s">
        <v>128</v>
      </c>
    </row>
    <row r="850" spans="1:6" s="537" customFormat="1">
      <c r="A850" s="542" t="s">
        <v>128</v>
      </c>
      <c r="B850" s="543">
        <v>4279</v>
      </c>
      <c r="C850" s="544" t="s">
        <v>196</v>
      </c>
      <c r="D850" s="545">
        <v>105</v>
      </c>
      <c r="E850" s="536" t="s">
        <v>128</v>
      </c>
      <c r="F850" s="536" t="s">
        <v>128</v>
      </c>
    </row>
    <row r="851" spans="1:6" s="537" customFormat="1">
      <c r="A851" s="546" t="s">
        <v>128</v>
      </c>
      <c r="B851" s="547">
        <v>4300</v>
      </c>
      <c r="C851" s="548" t="s">
        <v>197</v>
      </c>
      <c r="D851" s="549">
        <v>25000</v>
      </c>
      <c r="E851" s="536" t="s">
        <v>128</v>
      </c>
      <c r="F851" s="536" t="s">
        <v>128</v>
      </c>
    </row>
    <row r="852" spans="1:6" s="537" customFormat="1">
      <c r="A852" s="532" t="s">
        <v>128</v>
      </c>
      <c r="B852" s="533">
        <v>4307</v>
      </c>
      <c r="C852" s="534" t="s">
        <v>197</v>
      </c>
      <c r="D852" s="535">
        <v>514959</v>
      </c>
      <c r="E852" s="536" t="s">
        <v>128</v>
      </c>
      <c r="F852" s="536" t="s">
        <v>128</v>
      </c>
    </row>
    <row r="853" spans="1:6" s="537" customFormat="1">
      <c r="A853" s="532" t="s">
        <v>128</v>
      </c>
      <c r="B853" s="533">
        <v>4309</v>
      </c>
      <c r="C853" s="534" t="s">
        <v>197</v>
      </c>
      <c r="D853" s="535">
        <v>60583</v>
      </c>
      <c r="E853" s="536" t="s">
        <v>128</v>
      </c>
      <c r="F853" s="536" t="s">
        <v>128</v>
      </c>
    </row>
    <row r="854" spans="1:6" s="537" customFormat="1">
      <c r="A854" s="532" t="s">
        <v>128</v>
      </c>
      <c r="B854" s="533">
        <v>4367</v>
      </c>
      <c r="C854" s="534" t="s">
        <v>641</v>
      </c>
      <c r="D854" s="535">
        <v>2685</v>
      </c>
      <c r="E854" s="536" t="s">
        <v>128</v>
      </c>
      <c r="F854" s="536" t="s">
        <v>128</v>
      </c>
    </row>
    <row r="855" spans="1:6" s="537" customFormat="1">
      <c r="A855" s="532" t="s">
        <v>128</v>
      </c>
      <c r="B855" s="533">
        <v>4369</v>
      </c>
      <c r="C855" s="534" t="s">
        <v>641</v>
      </c>
      <c r="D855" s="535">
        <v>315</v>
      </c>
      <c r="E855" s="536" t="s">
        <v>128</v>
      </c>
      <c r="F855" s="536" t="s">
        <v>128</v>
      </c>
    </row>
    <row r="856" spans="1:6" s="537" customFormat="1">
      <c r="A856" s="532" t="s">
        <v>128</v>
      </c>
      <c r="B856" s="533">
        <v>4417</v>
      </c>
      <c r="C856" s="534" t="s">
        <v>198</v>
      </c>
      <c r="D856" s="535">
        <v>21922</v>
      </c>
      <c r="E856" s="536" t="s">
        <v>128</v>
      </c>
      <c r="F856" s="536" t="s">
        <v>128</v>
      </c>
    </row>
    <row r="857" spans="1:6" s="537" customFormat="1">
      <c r="A857" s="532" t="s">
        <v>128</v>
      </c>
      <c r="B857" s="533">
        <v>4419</v>
      </c>
      <c r="C857" s="534" t="s">
        <v>198</v>
      </c>
      <c r="D857" s="535">
        <v>2579</v>
      </c>
      <c r="E857" s="536" t="s">
        <v>128</v>
      </c>
      <c r="F857" s="536" t="s">
        <v>128</v>
      </c>
    </row>
    <row r="858" spans="1:6" s="537" customFormat="1">
      <c r="A858" s="532" t="s">
        <v>128</v>
      </c>
      <c r="B858" s="533">
        <v>4437</v>
      </c>
      <c r="C858" s="534" t="s">
        <v>645</v>
      </c>
      <c r="D858" s="535">
        <v>895</v>
      </c>
      <c r="E858" s="536" t="s">
        <v>128</v>
      </c>
      <c r="F858" s="536" t="s">
        <v>128</v>
      </c>
    </row>
    <row r="859" spans="1:6" s="537" customFormat="1">
      <c r="A859" s="532" t="s">
        <v>128</v>
      </c>
      <c r="B859" s="533">
        <v>4439</v>
      </c>
      <c r="C859" s="534" t="s">
        <v>645</v>
      </c>
      <c r="D859" s="535">
        <v>105</v>
      </c>
      <c r="E859" s="536" t="s">
        <v>128</v>
      </c>
      <c r="F859" s="536" t="s">
        <v>128</v>
      </c>
    </row>
    <row r="860" spans="1:6" s="537" customFormat="1">
      <c r="A860" s="532" t="s">
        <v>128</v>
      </c>
      <c r="B860" s="533">
        <v>4447</v>
      </c>
      <c r="C860" s="534" t="s">
        <v>667</v>
      </c>
      <c r="D860" s="535">
        <v>9887</v>
      </c>
      <c r="E860" s="536" t="s">
        <v>128</v>
      </c>
      <c r="F860" s="536" t="s">
        <v>128</v>
      </c>
    </row>
    <row r="861" spans="1:6" s="537" customFormat="1">
      <c r="A861" s="532" t="s">
        <v>128</v>
      </c>
      <c r="B861" s="533">
        <v>4449</v>
      </c>
      <c r="C861" s="534" t="s">
        <v>667</v>
      </c>
      <c r="D861" s="535">
        <v>1163</v>
      </c>
      <c r="E861" s="536" t="s">
        <v>128</v>
      </c>
      <c r="F861" s="536" t="s">
        <v>128</v>
      </c>
    </row>
    <row r="862" spans="1:6" s="537" customFormat="1">
      <c r="A862" s="532" t="s">
        <v>128</v>
      </c>
      <c r="B862" s="533">
        <v>4707</v>
      </c>
      <c r="C862" s="534" t="s">
        <v>646</v>
      </c>
      <c r="D862" s="535">
        <v>5368</v>
      </c>
      <c r="E862" s="536" t="s">
        <v>128</v>
      </c>
      <c r="F862" s="536" t="s">
        <v>128</v>
      </c>
    </row>
    <row r="863" spans="1:6" s="537" customFormat="1">
      <c r="A863" s="532" t="s">
        <v>128</v>
      </c>
      <c r="B863" s="533">
        <v>4709</v>
      </c>
      <c r="C863" s="534" t="s">
        <v>646</v>
      </c>
      <c r="D863" s="535">
        <v>632</v>
      </c>
      <c r="E863" s="536" t="s">
        <v>128</v>
      </c>
      <c r="F863" s="536" t="s">
        <v>128</v>
      </c>
    </row>
    <row r="864" spans="1:6" s="537" customFormat="1">
      <c r="A864" s="532" t="s">
        <v>128</v>
      </c>
      <c r="B864" s="533">
        <v>4717</v>
      </c>
      <c r="C864" s="534" t="s">
        <v>204</v>
      </c>
      <c r="D864" s="535">
        <v>8256</v>
      </c>
      <c r="E864" s="536" t="s">
        <v>128</v>
      </c>
      <c r="F864" s="536" t="s">
        <v>128</v>
      </c>
    </row>
    <row r="865" spans="1:6" s="537" customFormat="1">
      <c r="A865" s="532" t="s">
        <v>128</v>
      </c>
      <c r="B865" s="533">
        <v>4719</v>
      </c>
      <c r="C865" s="534" t="s">
        <v>204</v>
      </c>
      <c r="D865" s="535">
        <v>972</v>
      </c>
      <c r="E865" s="536" t="s">
        <v>128</v>
      </c>
      <c r="F865" s="536" t="s">
        <v>128</v>
      </c>
    </row>
    <row r="866" spans="1:6" s="537" customFormat="1">
      <c r="A866" s="532" t="s">
        <v>128</v>
      </c>
      <c r="B866" s="533">
        <v>6057</v>
      </c>
      <c r="C866" s="534" t="s">
        <v>203</v>
      </c>
      <c r="D866" s="535">
        <v>17596989</v>
      </c>
      <c r="E866" s="536" t="s">
        <v>128</v>
      </c>
      <c r="F866" s="536" t="s">
        <v>128</v>
      </c>
    </row>
    <row r="867" spans="1:6" s="537" customFormat="1">
      <c r="A867" s="532" t="s">
        <v>128</v>
      </c>
      <c r="B867" s="533">
        <v>6059</v>
      </c>
      <c r="C867" s="534" t="s">
        <v>203</v>
      </c>
      <c r="D867" s="535">
        <v>2070234</v>
      </c>
      <c r="E867" s="536" t="s">
        <v>128</v>
      </c>
      <c r="F867" s="536" t="s">
        <v>128</v>
      </c>
    </row>
    <row r="868" spans="1:6" s="507" customFormat="1" ht="55.5" customHeight="1">
      <c r="A868" s="502" t="s">
        <v>128</v>
      </c>
      <c r="B868" s="503">
        <v>6209</v>
      </c>
      <c r="C868" s="504" t="s">
        <v>668</v>
      </c>
      <c r="D868" s="505">
        <v>114117</v>
      </c>
      <c r="E868" s="506" t="s">
        <v>128</v>
      </c>
      <c r="F868" s="506" t="s">
        <v>128</v>
      </c>
    </row>
    <row r="869" spans="1:6" s="507" customFormat="1" ht="43.5" customHeight="1">
      <c r="A869" s="502" t="s">
        <v>128</v>
      </c>
      <c r="B869" s="503">
        <v>6259</v>
      </c>
      <c r="C869" s="504" t="s">
        <v>131</v>
      </c>
      <c r="D869" s="505">
        <v>171175</v>
      </c>
      <c r="E869" s="506" t="s">
        <v>128</v>
      </c>
      <c r="F869" s="506" t="s">
        <v>128</v>
      </c>
    </row>
    <row r="870" spans="1:6" s="527" customFormat="1">
      <c r="A870" s="522">
        <v>853</v>
      </c>
      <c r="B870" s="523" t="s">
        <v>128</v>
      </c>
      <c r="C870" s="524" t="s">
        <v>42</v>
      </c>
      <c r="D870" s="525">
        <f>D871+D875+D886+D906+D971</f>
        <v>29928216</v>
      </c>
      <c r="E870" s="526" t="s">
        <v>128</v>
      </c>
      <c r="F870" s="526" t="s">
        <v>128</v>
      </c>
    </row>
    <row r="871" spans="1:6" s="527" customFormat="1" ht="16.5" customHeight="1">
      <c r="A871" s="528">
        <v>85311</v>
      </c>
      <c r="B871" s="529" t="s">
        <v>128</v>
      </c>
      <c r="C871" s="530" t="s">
        <v>393</v>
      </c>
      <c r="D871" s="531">
        <f>SUM(D872:D874)</f>
        <v>600000</v>
      </c>
      <c r="E871" s="526" t="s">
        <v>128</v>
      </c>
      <c r="F871" s="526" t="s">
        <v>128</v>
      </c>
    </row>
    <row r="872" spans="1:6" s="507" customFormat="1" ht="29.25" customHeight="1">
      <c r="A872" s="502" t="s">
        <v>128</v>
      </c>
      <c r="B872" s="503">
        <v>2310</v>
      </c>
      <c r="C872" s="504" t="s">
        <v>647</v>
      </c>
      <c r="D872" s="505">
        <v>215167</v>
      </c>
      <c r="E872" s="506" t="s">
        <v>128</v>
      </c>
      <c r="F872" s="506" t="s">
        <v>128</v>
      </c>
    </row>
    <row r="873" spans="1:6" s="507" customFormat="1" ht="29.25" customHeight="1">
      <c r="A873" s="502" t="s">
        <v>128</v>
      </c>
      <c r="B873" s="503">
        <v>2320</v>
      </c>
      <c r="C873" s="504" t="s">
        <v>652</v>
      </c>
      <c r="D873" s="505">
        <v>215167</v>
      </c>
      <c r="E873" s="506" t="s">
        <v>128</v>
      </c>
      <c r="F873" s="506" t="s">
        <v>128</v>
      </c>
    </row>
    <row r="874" spans="1:6" s="507" customFormat="1" ht="29.25" customHeight="1">
      <c r="A874" s="502" t="s">
        <v>128</v>
      </c>
      <c r="B874" s="503">
        <v>2820</v>
      </c>
      <c r="C874" s="504" t="s">
        <v>689</v>
      </c>
      <c r="D874" s="505">
        <v>169666</v>
      </c>
      <c r="E874" s="506" t="s">
        <v>128</v>
      </c>
      <c r="F874" s="506" t="s">
        <v>128</v>
      </c>
    </row>
    <row r="875" spans="1:6" s="527" customFormat="1">
      <c r="A875" s="528">
        <v>85324</v>
      </c>
      <c r="B875" s="529" t="s">
        <v>128</v>
      </c>
      <c r="C875" s="530" t="s">
        <v>86</v>
      </c>
      <c r="D875" s="531">
        <f>SUM(D876:D885)</f>
        <v>440550</v>
      </c>
      <c r="E875" s="526" t="s">
        <v>128</v>
      </c>
      <c r="F875" s="526" t="s">
        <v>128</v>
      </c>
    </row>
    <row r="876" spans="1:6" s="537" customFormat="1">
      <c r="A876" s="532" t="s">
        <v>128</v>
      </c>
      <c r="B876" s="533">
        <v>4010</v>
      </c>
      <c r="C876" s="534" t="s">
        <v>188</v>
      </c>
      <c r="D876" s="535">
        <v>277123</v>
      </c>
      <c r="E876" s="536" t="s">
        <v>128</v>
      </c>
      <c r="F876" s="536" t="s">
        <v>128</v>
      </c>
    </row>
    <row r="877" spans="1:6" s="537" customFormat="1">
      <c r="A877" s="532" t="s">
        <v>128</v>
      </c>
      <c r="B877" s="533">
        <v>4040</v>
      </c>
      <c r="C877" s="534" t="s">
        <v>189</v>
      </c>
      <c r="D877" s="535">
        <v>45000</v>
      </c>
      <c r="E877" s="536" t="s">
        <v>128</v>
      </c>
      <c r="F877" s="536" t="s">
        <v>128</v>
      </c>
    </row>
    <row r="878" spans="1:6" s="537" customFormat="1">
      <c r="A878" s="532" t="s">
        <v>128</v>
      </c>
      <c r="B878" s="533">
        <v>4110</v>
      </c>
      <c r="C878" s="534" t="s">
        <v>190</v>
      </c>
      <c r="D878" s="535">
        <v>47637</v>
      </c>
      <c r="E878" s="536" t="s">
        <v>128</v>
      </c>
      <c r="F878" s="536" t="s">
        <v>128</v>
      </c>
    </row>
    <row r="879" spans="1:6" s="537" customFormat="1">
      <c r="A879" s="532" t="s">
        <v>128</v>
      </c>
      <c r="B879" s="533">
        <v>4120</v>
      </c>
      <c r="C879" s="534" t="s">
        <v>191</v>
      </c>
      <c r="D879" s="535">
        <v>6790</v>
      </c>
      <c r="E879" s="536" t="s">
        <v>128</v>
      </c>
      <c r="F879" s="536" t="s">
        <v>128</v>
      </c>
    </row>
    <row r="880" spans="1:6" s="537" customFormat="1">
      <c r="A880" s="532" t="s">
        <v>128</v>
      </c>
      <c r="B880" s="533">
        <v>4210</v>
      </c>
      <c r="C880" s="534" t="s">
        <v>194</v>
      </c>
      <c r="D880" s="535">
        <v>50000</v>
      </c>
      <c r="E880" s="536" t="s">
        <v>128</v>
      </c>
      <c r="F880" s="536" t="s">
        <v>128</v>
      </c>
    </row>
    <row r="881" spans="1:6" s="537" customFormat="1">
      <c r="A881" s="532" t="s">
        <v>128</v>
      </c>
      <c r="B881" s="533">
        <v>4220</v>
      </c>
      <c r="C881" s="534" t="s">
        <v>195</v>
      </c>
      <c r="D881" s="535">
        <v>2000</v>
      </c>
      <c r="E881" s="536" t="s">
        <v>128</v>
      </c>
      <c r="F881" s="536" t="s">
        <v>128</v>
      </c>
    </row>
    <row r="882" spans="1:6" s="537" customFormat="1">
      <c r="A882" s="532" t="s">
        <v>128</v>
      </c>
      <c r="B882" s="533">
        <v>4270</v>
      </c>
      <c r="C882" s="534" t="s">
        <v>196</v>
      </c>
      <c r="D882" s="535">
        <v>2000</v>
      </c>
      <c r="E882" s="536" t="s">
        <v>128</v>
      </c>
      <c r="F882" s="536" t="s">
        <v>128</v>
      </c>
    </row>
    <row r="883" spans="1:6" s="537" customFormat="1">
      <c r="A883" s="532" t="s">
        <v>128</v>
      </c>
      <c r="B883" s="533">
        <v>4300</v>
      </c>
      <c r="C883" s="534" t="s">
        <v>197</v>
      </c>
      <c r="D883" s="535">
        <v>2000</v>
      </c>
      <c r="E883" s="536" t="s">
        <v>128</v>
      </c>
      <c r="F883" s="536" t="s">
        <v>128</v>
      </c>
    </row>
    <row r="884" spans="1:6" s="537" customFormat="1">
      <c r="A884" s="532" t="s">
        <v>128</v>
      </c>
      <c r="B884" s="533">
        <v>4410</v>
      </c>
      <c r="C884" s="534" t="s">
        <v>198</v>
      </c>
      <c r="D884" s="535">
        <v>3000</v>
      </c>
      <c r="E884" s="536" t="s">
        <v>128</v>
      </c>
      <c r="F884" s="536" t="s">
        <v>128</v>
      </c>
    </row>
    <row r="885" spans="1:6" s="537" customFormat="1">
      <c r="A885" s="532" t="s">
        <v>128</v>
      </c>
      <c r="B885" s="533">
        <v>4700</v>
      </c>
      <c r="C885" s="534" t="s">
        <v>646</v>
      </c>
      <c r="D885" s="535">
        <v>5000</v>
      </c>
      <c r="E885" s="536" t="s">
        <v>128</v>
      </c>
      <c r="F885" s="536" t="s">
        <v>128</v>
      </c>
    </row>
    <row r="886" spans="1:6" s="527" customFormat="1" ht="15" customHeight="1">
      <c r="A886" s="528">
        <v>85325</v>
      </c>
      <c r="B886" s="529" t="s">
        <v>128</v>
      </c>
      <c r="C886" s="530" t="s">
        <v>87</v>
      </c>
      <c r="D886" s="531">
        <f>SUM(D887:D905)</f>
        <v>1620000</v>
      </c>
      <c r="E886" s="526" t="s">
        <v>128</v>
      </c>
      <c r="F886" s="526" t="s">
        <v>128</v>
      </c>
    </row>
    <row r="887" spans="1:6" s="537" customFormat="1">
      <c r="A887" s="532" t="s">
        <v>128</v>
      </c>
      <c r="B887" s="533">
        <v>3020</v>
      </c>
      <c r="C887" s="534" t="s">
        <v>664</v>
      </c>
      <c r="D887" s="535">
        <v>3000</v>
      </c>
      <c r="E887" s="536" t="s">
        <v>128</v>
      </c>
      <c r="F887" s="536" t="s">
        <v>128</v>
      </c>
    </row>
    <row r="888" spans="1:6" s="537" customFormat="1">
      <c r="A888" s="532" t="s">
        <v>128</v>
      </c>
      <c r="B888" s="533">
        <v>4010</v>
      </c>
      <c r="C888" s="534" t="s">
        <v>188</v>
      </c>
      <c r="D888" s="535">
        <v>980000</v>
      </c>
      <c r="E888" s="536" t="s">
        <v>128</v>
      </c>
      <c r="F888" s="536" t="s">
        <v>128</v>
      </c>
    </row>
    <row r="889" spans="1:6" s="537" customFormat="1">
      <c r="A889" s="532" t="s">
        <v>128</v>
      </c>
      <c r="B889" s="533">
        <v>4040</v>
      </c>
      <c r="C889" s="534" t="s">
        <v>189</v>
      </c>
      <c r="D889" s="535">
        <v>104000</v>
      </c>
      <c r="E889" s="536" t="s">
        <v>128</v>
      </c>
      <c r="F889" s="536" t="s">
        <v>128</v>
      </c>
    </row>
    <row r="890" spans="1:6" s="537" customFormat="1">
      <c r="A890" s="532" t="s">
        <v>128</v>
      </c>
      <c r="B890" s="533">
        <v>4110</v>
      </c>
      <c r="C890" s="534" t="s">
        <v>190</v>
      </c>
      <c r="D890" s="535">
        <v>192000</v>
      </c>
      <c r="E890" s="536" t="s">
        <v>128</v>
      </c>
      <c r="F890" s="536" t="s">
        <v>128</v>
      </c>
    </row>
    <row r="891" spans="1:6" s="537" customFormat="1">
      <c r="A891" s="532" t="s">
        <v>128</v>
      </c>
      <c r="B891" s="533">
        <v>4120</v>
      </c>
      <c r="C891" s="534" t="s">
        <v>191</v>
      </c>
      <c r="D891" s="535">
        <v>23000</v>
      </c>
      <c r="E891" s="536" t="s">
        <v>128</v>
      </c>
      <c r="F891" s="536" t="s">
        <v>128</v>
      </c>
    </row>
    <row r="892" spans="1:6" s="537" customFormat="1">
      <c r="A892" s="532" t="s">
        <v>128</v>
      </c>
      <c r="B892" s="533">
        <v>4170</v>
      </c>
      <c r="C892" s="534" t="s">
        <v>192</v>
      </c>
      <c r="D892" s="535">
        <v>4000</v>
      </c>
      <c r="E892" s="536" t="s">
        <v>128</v>
      </c>
      <c r="F892" s="536" t="s">
        <v>128</v>
      </c>
    </row>
    <row r="893" spans="1:6" s="537" customFormat="1">
      <c r="A893" s="532" t="s">
        <v>128</v>
      </c>
      <c r="B893" s="533">
        <v>4210</v>
      </c>
      <c r="C893" s="534" t="s">
        <v>194</v>
      </c>
      <c r="D893" s="535">
        <v>37000</v>
      </c>
      <c r="E893" s="536" t="s">
        <v>128</v>
      </c>
      <c r="F893" s="536" t="s">
        <v>128</v>
      </c>
    </row>
    <row r="894" spans="1:6" s="537" customFormat="1">
      <c r="A894" s="532" t="s">
        <v>128</v>
      </c>
      <c r="B894" s="533">
        <v>4260</v>
      </c>
      <c r="C894" s="534" t="s">
        <v>640</v>
      </c>
      <c r="D894" s="535">
        <v>31000</v>
      </c>
      <c r="E894" s="536" t="s">
        <v>128</v>
      </c>
      <c r="F894" s="536" t="s">
        <v>128</v>
      </c>
    </row>
    <row r="895" spans="1:6" s="537" customFormat="1">
      <c r="A895" s="532" t="s">
        <v>128</v>
      </c>
      <c r="B895" s="533">
        <v>4270</v>
      </c>
      <c r="C895" s="534" t="s">
        <v>196</v>
      </c>
      <c r="D895" s="535">
        <v>3000</v>
      </c>
      <c r="E895" s="536" t="s">
        <v>128</v>
      </c>
      <c r="F895" s="536" t="s">
        <v>128</v>
      </c>
    </row>
    <row r="896" spans="1:6" s="537" customFormat="1">
      <c r="A896" s="532" t="s">
        <v>128</v>
      </c>
      <c r="B896" s="533">
        <v>4280</v>
      </c>
      <c r="C896" s="534" t="s">
        <v>666</v>
      </c>
      <c r="D896" s="535">
        <v>2000</v>
      </c>
      <c r="E896" s="536" t="s">
        <v>128</v>
      </c>
      <c r="F896" s="536" t="s">
        <v>128</v>
      </c>
    </row>
    <row r="897" spans="1:6" s="537" customFormat="1">
      <c r="A897" s="532" t="s">
        <v>128</v>
      </c>
      <c r="B897" s="533">
        <v>4300</v>
      </c>
      <c r="C897" s="534" t="s">
        <v>197</v>
      </c>
      <c r="D897" s="535">
        <v>66000</v>
      </c>
      <c r="E897" s="536" t="s">
        <v>128</v>
      </c>
      <c r="F897" s="536" t="s">
        <v>128</v>
      </c>
    </row>
    <row r="898" spans="1:6" s="537" customFormat="1" ht="12.75" customHeight="1">
      <c r="A898" s="532" t="s">
        <v>128</v>
      </c>
      <c r="B898" s="533">
        <v>4360</v>
      </c>
      <c r="C898" s="534" t="s">
        <v>641</v>
      </c>
      <c r="D898" s="535">
        <v>21000</v>
      </c>
      <c r="E898" s="536" t="s">
        <v>128</v>
      </c>
      <c r="F898" s="536" t="s">
        <v>128</v>
      </c>
    </row>
    <row r="899" spans="1:6" s="537" customFormat="1" ht="12.75" customHeight="1">
      <c r="A899" s="532" t="s">
        <v>128</v>
      </c>
      <c r="B899" s="533">
        <v>4400</v>
      </c>
      <c r="C899" s="534" t="s">
        <v>643</v>
      </c>
      <c r="D899" s="535">
        <v>100000</v>
      </c>
      <c r="E899" s="536" t="s">
        <v>128</v>
      </c>
      <c r="F899" s="536" t="s">
        <v>128</v>
      </c>
    </row>
    <row r="900" spans="1:6" s="537" customFormat="1">
      <c r="A900" s="532" t="s">
        <v>128</v>
      </c>
      <c r="B900" s="533">
        <v>4410</v>
      </c>
      <c r="C900" s="534" t="s">
        <v>198</v>
      </c>
      <c r="D900" s="535">
        <v>1000</v>
      </c>
      <c r="E900" s="536" t="s">
        <v>128</v>
      </c>
      <c r="F900" s="536" t="s">
        <v>128</v>
      </c>
    </row>
    <row r="901" spans="1:6" s="537" customFormat="1">
      <c r="A901" s="532" t="s">
        <v>128</v>
      </c>
      <c r="B901" s="533">
        <v>4430</v>
      </c>
      <c r="C901" s="534" t="s">
        <v>645</v>
      </c>
      <c r="D901" s="535">
        <v>3000</v>
      </c>
      <c r="E901" s="536" t="s">
        <v>128</v>
      </c>
      <c r="F901" s="536" t="s">
        <v>128</v>
      </c>
    </row>
    <row r="902" spans="1:6" s="537" customFormat="1">
      <c r="A902" s="532" t="s">
        <v>128</v>
      </c>
      <c r="B902" s="533">
        <v>4440</v>
      </c>
      <c r="C902" s="534" t="s">
        <v>667</v>
      </c>
      <c r="D902" s="535">
        <v>30000</v>
      </c>
      <c r="E902" s="536" t="s">
        <v>128</v>
      </c>
      <c r="F902" s="536" t="s">
        <v>128</v>
      </c>
    </row>
    <row r="903" spans="1:6" s="537" customFormat="1">
      <c r="A903" s="532" t="s">
        <v>128</v>
      </c>
      <c r="B903" s="533">
        <v>4480</v>
      </c>
      <c r="C903" s="534" t="s">
        <v>649</v>
      </c>
      <c r="D903" s="535">
        <v>3000</v>
      </c>
      <c r="E903" s="536" t="s">
        <v>128</v>
      </c>
      <c r="F903" s="536" t="s">
        <v>128</v>
      </c>
    </row>
    <row r="904" spans="1:6" s="537" customFormat="1">
      <c r="A904" s="532" t="s">
        <v>128</v>
      </c>
      <c r="B904" s="533">
        <v>4700</v>
      </c>
      <c r="C904" s="534" t="s">
        <v>646</v>
      </c>
      <c r="D904" s="535">
        <v>2000</v>
      </c>
      <c r="E904" s="536" t="s">
        <v>128</v>
      </c>
      <c r="F904" s="536" t="s">
        <v>128</v>
      </c>
    </row>
    <row r="905" spans="1:6" s="537" customFormat="1">
      <c r="A905" s="532" t="s">
        <v>128</v>
      </c>
      <c r="B905" s="533">
        <v>4710</v>
      </c>
      <c r="C905" s="534" t="s">
        <v>204</v>
      </c>
      <c r="D905" s="535">
        <v>15000</v>
      </c>
      <c r="E905" s="536" t="s">
        <v>128</v>
      </c>
      <c r="F905" s="536" t="s">
        <v>128</v>
      </c>
    </row>
    <row r="906" spans="1:6" s="527" customFormat="1" ht="15" customHeight="1">
      <c r="A906" s="528">
        <v>85332</v>
      </c>
      <c r="B906" s="529" t="s">
        <v>128</v>
      </c>
      <c r="C906" s="530" t="s">
        <v>43</v>
      </c>
      <c r="D906" s="531">
        <f>SUM(D907:D970)</f>
        <v>17533846</v>
      </c>
      <c r="E906" s="526" t="s">
        <v>128</v>
      </c>
      <c r="F906" s="526" t="s">
        <v>128</v>
      </c>
    </row>
    <row r="907" spans="1:6" s="537" customFormat="1">
      <c r="A907" s="532" t="s">
        <v>128</v>
      </c>
      <c r="B907" s="533">
        <v>3020</v>
      </c>
      <c r="C907" s="534" t="s">
        <v>664</v>
      </c>
      <c r="D907" s="535">
        <v>10300</v>
      </c>
      <c r="E907" s="536" t="s">
        <v>128</v>
      </c>
      <c r="F907" s="536" t="s">
        <v>128</v>
      </c>
    </row>
    <row r="908" spans="1:6" s="537" customFormat="1">
      <c r="A908" s="532" t="s">
        <v>128</v>
      </c>
      <c r="B908" s="533">
        <v>3028</v>
      </c>
      <c r="C908" s="534" t="s">
        <v>664</v>
      </c>
      <c r="D908" s="535">
        <v>2529</v>
      </c>
      <c r="E908" s="536" t="s">
        <v>128</v>
      </c>
      <c r="F908" s="536" t="s">
        <v>128</v>
      </c>
    </row>
    <row r="909" spans="1:6" s="537" customFormat="1">
      <c r="A909" s="532" t="s">
        <v>128</v>
      </c>
      <c r="B909" s="533">
        <v>3029</v>
      </c>
      <c r="C909" s="534" t="s">
        <v>664</v>
      </c>
      <c r="D909" s="535">
        <v>446</v>
      </c>
      <c r="E909" s="536" t="s">
        <v>128</v>
      </c>
      <c r="F909" s="536" t="s">
        <v>128</v>
      </c>
    </row>
    <row r="910" spans="1:6" s="537" customFormat="1">
      <c r="A910" s="532" t="s">
        <v>128</v>
      </c>
      <c r="B910" s="533">
        <v>3030</v>
      </c>
      <c r="C910" s="534" t="s">
        <v>669</v>
      </c>
      <c r="D910" s="535">
        <v>100</v>
      </c>
      <c r="E910" s="536" t="s">
        <v>128</v>
      </c>
      <c r="F910" s="536" t="s">
        <v>128</v>
      </c>
    </row>
    <row r="911" spans="1:6" s="537" customFormat="1">
      <c r="A911" s="532" t="s">
        <v>128</v>
      </c>
      <c r="B911" s="533">
        <v>4010</v>
      </c>
      <c r="C911" s="534" t="s">
        <v>188</v>
      </c>
      <c r="D911" s="535">
        <v>8572904</v>
      </c>
      <c r="E911" s="536" t="s">
        <v>128</v>
      </c>
      <c r="F911" s="536" t="s">
        <v>128</v>
      </c>
    </row>
    <row r="912" spans="1:6" s="537" customFormat="1">
      <c r="A912" s="532" t="s">
        <v>128</v>
      </c>
      <c r="B912" s="533">
        <v>4018</v>
      </c>
      <c r="C912" s="534" t="s">
        <v>188</v>
      </c>
      <c r="D912" s="535">
        <v>2175086</v>
      </c>
      <c r="E912" s="536" t="s">
        <v>128</v>
      </c>
      <c r="F912" s="536" t="s">
        <v>128</v>
      </c>
    </row>
    <row r="913" spans="1:6" s="537" customFormat="1">
      <c r="A913" s="532" t="s">
        <v>128</v>
      </c>
      <c r="B913" s="533">
        <v>4019</v>
      </c>
      <c r="C913" s="534" t="s">
        <v>188</v>
      </c>
      <c r="D913" s="535">
        <v>383839</v>
      </c>
      <c r="E913" s="536" t="s">
        <v>128</v>
      </c>
      <c r="F913" s="536" t="s">
        <v>128</v>
      </c>
    </row>
    <row r="914" spans="1:6" s="537" customFormat="1">
      <c r="A914" s="542" t="s">
        <v>128</v>
      </c>
      <c r="B914" s="543">
        <v>4040</v>
      </c>
      <c r="C914" s="544" t="s">
        <v>189</v>
      </c>
      <c r="D914" s="545">
        <v>923590</v>
      </c>
      <c r="E914" s="536" t="s">
        <v>128</v>
      </c>
      <c r="F914" s="536" t="s">
        <v>128</v>
      </c>
    </row>
    <row r="915" spans="1:6" s="537" customFormat="1" ht="12.75" customHeight="1">
      <c r="A915" s="546" t="s">
        <v>128</v>
      </c>
      <c r="B915" s="547">
        <v>4048</v>
      </c>
      <c r="C915" s="548" t="s">
        <v>189</v>
      </c>
      <c r="D915" s="549">
        <v>94494</v>
      </c>
      <c r="E915" s="536" t="s">
        <v>128</v>
      </c>
      <c r="F915" s="536" t="s">
        <v>128</v>
      </c>
    </row>
    <row r="916" spans="1:6" s="537" customFormat="1">
      <c r="A916" s="532" t="s">
        <v>128</v>
      </c>
      <c r="B916" s="533">
        <v>4049</v>
      </c>
      <c r="C916" s="534" t="s">
        <v>189</v>
      </c>
      <c r="D916" s="535">
        <v>16675</v>
      </c>
      <c r="E916" s="536" t="s">
        <v>128</v>
      </c>
      <c r="F916" s="536" t="s">
        <v>128</v>
      </c>
    </row>
    <row r="917" spans="1:6" s="537" customFormat="1">
      <c r="A917" s="532" t="s">
        <v>128</v>
      </c>
      <c r="B917" s="533">
        <v>4110</v>
      </c>
      <c r="C917" s="534" t="s">
        <v>190</v>
      </c>
      <c r="D917" s="535">
        <v>1579880</v>
      </c>
      <c r="E917" s="536" t="s">
        <v>128</v>
      </c>
      <c r="F917" s="536" t="s">
        <v>128</v>
      </c>
    </row>
    <row r="918" spans="1:6" s="537" customFormat="1">
      <c r="A918" s="532" t="s">
        <v>128</v>
      </c>
      <c r="B918" s="533">
        <v>4118</v>
      </c>
      <c r="C918" s="534" t="s">
        <v>190</v>
      </c>
      <c r="D918" s="535">
        <v>390142</v>
      </c>
      <c r="E918" s="536" t="s">
        <v>128</v>
      </c>
      <c r="F918" s="536" t="s">
        <v>128</v>
      </c>
    </row>
    <row r="919" spans="1:6" s="537" customFormat="1">
      <c r="A919" s="532" t="s">
        <v>128</v>
      </c>
      <c r="B919" s="533">
        <v>4119</v>
      </c>
      <c r="C919" s="534" t="s">
        <v>190</v>
      </c>
      <c r="D919" s="535">
        <v>68848</v>
      </c>
      <c r="E919" s="536" t="s">
        <v>128</v>
      </c>
      <c r="F919" s="536" t="s">
        <v>128</v>
      </c>
    </row>
    <row r="920" spans="1:6" s="537" customFormat="1">
      <c r="A920" s="532" t="s">
        <v>128</v>
      </c>
      <c r="B920" s="533">
        <v>4120</v>
      </c>
      <c r="C920" s="534" t="s">
        <v>191</v>
      </c>
      <c r="D920" s="535">
        <v>225172</v>
      </c>
      <c r="E920" s="536" t="s">
        <v>128</v>
      </c>
      <c r="F920" s="536" t="s">
        <v>128</v>
      </c>
    </row>
    <row r="921" spans="1:6" s="537" customFormat="1">
      <c r="A921" s="532" t="s">
        <v>128</v>
      </c>
      <c r="B921" s="533">
        <v>4128</v>
      </c>
      <c r="C921" s="534" t="s">
        <v>191</v>
      </c>
      <c r="D921" s="535">
        <v>55605</v>
      </c>
      <c r="E921" s="536" t="s">
        <v>128</v>
      </c>
      <c r="F921" s="536" t="s">
        <v>128</v>
      </c>
    </row>
    <row r="922" spans="1:6" s="537" customFormat="1">
      <c r="A922" s="532" t="s">
        <v>128</v>
      </c>
      <c r="B922" s="533">
        <v>4129</v>
      </c>
      <c r="C922" s="534" t="s">
        <v>191</v>
      </c>
      <c r="D922" s="535">
        <v>9813</v>
      </c>
      <c r="E922" s="536" t="s">
        <v>128</v>
      </c>
      <c r="F922" s="536" t="s">
        <v>128</v>
      </c>
    </row>
    <row r="923" spans="1:6" s="537" customFormat="1">
      <c r="A923" s="532" t="s">
        <v>128</v>
      </c>
      <c r="B923" s="533">
        <v>4140</v>
      </c>
      <c r="C923" s="534" t="s">
        <v>665</v>
      </c>
      <c r="D923" s="535">
        <v>144569</v>
      </c>
      <c r="E923" s="536" t="s">
        <v>128</v>
      </c>
      <c r="F923" s="536" t="s">
        <v>128</v>
      </c>
    </row>
    <row r="924" spans="1:6" s="537" customFormat="1">
      <c r="A924" s="532" t="s">
        <v>128</v>
      </c>
      <c r="B924" s="533">
        <v>4170</v>
      </c>
      <c r="C924" s="534" t="s">
        <v>192</v>
      </c>
      <c r="D924" s="535">
        <v>34900</v>
      </c>
      <c r="E924" s="536" t="s">
        <v>128</v>
      </c>
      <c r="F924" s="536" t="s">
        <v>128</v>
      </c>
    </row>
    <row r="925" spans="1:6" s="537" customFormat="1">
      <c r="A925" s="532" t="s">
        <v>128</v>
      </c>
      <c r="B925" s="533">
        <v>4210</v>
      </c>
      <c r="C925" s="534" t="s">
        <v>194</v>
      </c>
      <c r="D925" s="535">
        <v>100000</v>
      </c>
      <c r="E925" s="536" t="s">
        <v>128</v>
      </c>
      <c r="F925" s="536" t="s">
        <v>128</v>
      </c>
    </row>
    <row r="926" spans="1:6" s="537" customFormat="1">
      <c r="A926" s="532" t="s">
        <v>128</v>
      </c>
      <c r="B926" s="533">
        <v>4218</v>
      </c>
      <c r="C926" s="534" t="s">
        <v>194</v>
      </c>
      <c r="D926" s="535">
        <v>18275</v>
      </c>
      <c r="E926" s="536" t="s">
        <v>128</v>
      </c>
      <c r="F926" s="536" t="s">
        <v>128</v>
      </c>
    </row>
    <row r="927" spans="1:6" s="537" customFormat="1">
      <c r="A927" s="532" t="s">
        <v>128</v>
      </c>
      <c r="B927" s="533">
        <v>4219</v>
      </c>
      <c r="C927" s="534" t="s">
        <v>194</v>
      </c>
      <c r="D927" s="535">
        <v>3225</v>
      </c>
      <c r="E927" s="536" t="s">
        <v>128</v>
      </c>
      <c r="F927" s="536" t="s">
        <v>128</v>
      </c>
    </row>
    <row r="928" spans="1:6" s="537" customFormat="1">
      <c r="A928" s="532" t="s">
        <v>128</v>
      </c>
      <c r="B928" s="533">
        <v>4220</v>
      </c>
      <c r="C928" s="534" t="s">
        <v>195</v>
      </c>
      <c r="D928" s="535">
        <v>3000</v>
      </c>
      <c r="E928" s="536" t="s">
        <v>128</v>
      </c>
      <c r="F928" s="536" t="s">
        <v>128</v>
      </c>
    </row>
    <row r="929" spans="1:6" s="537" customFormat="1">
      <c r="A929" s="532" t="s">
        <v>128</v>
      </c>
      <c r="B929" s="533">
        <v>4228</v>
      </c>
      <c r="C929" s="534" t="s">
        <v>195</v>
      </c>
      <c r="D929" s="535">
        <v>2550</v>
      </c>
      <c r="E929" s="536" t="s">
        <v>128</v>
      </c>
      <c r="F929" s="536" t="s">
        <v>128</v>
      </c>
    </row>
    <row r="930" spans="1:6" s="537" customFormat="1">
      <c r="A930" s="532" t="s">
        <v>128</v>
      </c>
      <c r="B930" s="533">
        <v>4229</v>
      </c>
      <c r="C930" s="534" t="s">
        <v>195</v>
      </c>
      <c r="D930" s="535">
        <v>450</v>
      </c>
      <c r="E930" s="536" t="s">
        <v>128</v>
      </c>
      <c r="F930" s="536" t="s">
        <v>128</v>
      </c>
    </row>
    <row r="931" spans="1:6" s="537" customFormat="1">
      <c r="A931" s="532" t="s">
        <v>128</v>
      </c>
      <c r="B931" s="533">
        <v>4260</v>
      </c>
      <c r="C931" s="534" t="s">
        <v>640</v>
      </c>
      <c r="D931" s="535">
        <v>250000</v>
      </c>
      <c r="E931" s="536" t="s">
        <v>128</v>
      </c>
      <c r="F931" s="536" t="s">
        <v>128</v>
      </c>
    </row>
    <row r="932" spans="1:6" s="537" customFormat="1">
      <c r="A932" s="532" t="s">
        <v>128</v>
      </c>
      <c r="B932" s="533">
        <v>4268</v>
      </c>
      <c r="C932" s="534" t="s">
        <v>640</v>
      </c>
      <c r="D932" s="535">
        <v>84256</v>
      </c>
      <c r="E932" s="536" t="s">
        <v>128</v>
      </c>
      <c r="F932" s="536" t="s">
        <v>128</v>
      </c>
    </row>
    <row r="933" spans="1:6" s="537" customFormat="1">
      <c r="A933" s="532" t="s">
        <v>128</v>
      </c>
      <c r="B933" s="533">
        <v>4269</v>
      </c>
      <c r="C933" s="534" t="s">
        <v>640</v>
      </c>
      <c r="D933" s="535">
        <v>14869</v>
      </c>
      <c r="E933" s="536" t="s">
        <v>128</v>
      </c>
      <c r="F933" s="536" t="s">
        <v>128</v>
      </c>
    </row>
    <row r="934" spans="1:6" s="537" customFormat="1">
      <c r="A934" s="532" t="s">
        <v>128</v>
      </c>
      <c r="B934" s="533">
        <v>4270</v>
      </c>
      <c r="C934" s="534" t="s">
        <v>196</v>
      </c>
      <c r="D934" s="535">
        <v>127500</v>
      </c>
      <c r="E934" s="536" t="s">
        <v>128</v>
      </c>
      <c r="F934" s="536" t="s">
        <v>128</v>
      </c>
    </row>
    <row r="935" spans="1:6" s="537" customFormat="1">
      <c r="A935" s="532" t="s">
        <v>128</v>
      </c>
      <c r="B935" s="533">
        <v>4278</v>
      </c>
      <c r="C935" s="534" t="s">
        <v>196</v>
      </c>
      <c r="D935" s="535">
        <v>2550</v>
      </c>
      <c r="E935" s="536" t="s">
        <v>128</v>
      </c>
      <c r="F935" s="536" t="s">
        <v>128</v>
      </c>
    </row>
    <row r="936" spans="1:6" s="537" customFormat="1">
      <c r="A936" s="532" t="s">
        <v>128</v>
      </c>
      <c r="B936" s="533">
        <v>4279</v>
      </c>
      <c r="C936" s="534" t="s">
        <v>196</v>
      </c>
      <c r="D936" s="535">
        <v>450</v>
      </c>
      <c r="E936" s="536" t="s">
        <v>128</v>
      </c>
      <c r="F936" s="536" t="s">
        <v>128</v>
      </c>
    </row>
    <row r="937" spans="1:6" s="537" customFormat="1">
      <c r="A937" s="532" t="s">
        <v>128</v>
      </c>
      <c r="B937" s="533">
        <v>4280</v>
      </c>
      <c r="C937" s="534" t="s">
        <v>666</v>
      </c>
      <c r="D937" s="535">
        <v>5000</v>
      </c>
      <c r="E937" s="536" t="s">
        <v>128</v>
      </c>
      <c r="F937" s="536" t="s">
        <v>128</v>
      </c>
    </row>
    <row r="938" spans="1:6" s="537" customFormat="1">
      <c r="A938" s="532" t="s">
        <v>128</v>
      </c>
      <c r="B938" s="533">
        <v>4288</v>
      </c>
      <c r="C938" s="534" t="s">
        <v>666</v>
      </c>
      <c r="D938" s="535">
        <v>872</v>
      </c>
      <c r="E938" s="536" t="s">
        <v>128</v>
      </c>
      <c r="F938" s="536" t="s">
        <v>128</v>
      </c>
    </row>
    <row r="939" spans="1:6" s="537" customFormat="1">
      <c r="A939" s="532" t="s">
        <v>128</v>
      </c>
      <c r="B939" s="533">
        <v>4289</v>
      </c>
      <c r="C939" s="534" t="s">
        <v>666</v>
      </c>
      <c r="D939" s="535">
        <v>153</v>
      </c>
      <c r="E939" s="536" t="s">
        <v>128</v>
      </c>
      <c r="F939" s="536" t="s">
        <v>128</v>
      </c>
    </row>
    <row r="940" spans="1:6" s="537" customFormat="1">
      <c r="A940" s="532" t="s">
        <v>128</v>
      </c>
      <c r="B940" s="533">
        <v>4300</v>
      </c>
      <c r="C940" s="534" t="s">
        <v>197</v>
      </c>
      <c r="D940" s="535">
        <v>360000</v>
      </c>
      <c r="E940" s="536" t="s">
        <v>128</v>
      </c>
      <c r="F940" s="536" t="s">
        <v>128</v>
      </c>
    </row>
    <row r="941" spans="1:6" s="537" customFormat="1">
      <c r="A941" s="532" t="s">
        <v>128</v>
      </c>
      <c r="B941" s="533">
        <v>4308</v>
      </c>
      <c r="C941" s="534" t="s">
        <v>197</v>
      </c>
      <c r="D941" s="535">
        <v>121250</v>
      </c>
      <c r="E941" s="536" t="s">
        <v>128</v>
      </c>
      <c r="F941" s="536" t="s">
        <v>128</v>
      </c>
    </row>
    <row r="942" spans="1:6" s="537" customFormat="1">
      <c r="A942" s="532" t="s">
        <v>128</v>
      </c>
      <c r="B942" s="533">
        <v>4309</v>
      </c>
      <c r="C942" s="534" t="s">
        <v>197</v>
      </c>
      <c r="D942" s="535">
        <v>21398</v>
      </c>
      <c r="E942" s="536" t="s">
        <v>128</v>
      </c>
      <c r="F942" s="536" t="s">
        <v>128</v>
      </c>
    </row>
    <row r="943" spans="1:6" s="537" customFormat="1">
      <c r="A943" s="532" t="s">
        <v>128</v>
      </c>
      <c r="B943" s="533">
        <v>4360</v>
      </c>
      <c r="C943" s="534" t="s">
        <v>641</v>
      </c>
      <c r="D943" s="535">
        <v>51500</v>
      </c>
      <c r="E943" s="536" t="s">
        <v>128</v>
      </c>
      <c r="F943" s="536" t="s">
        <v>128</v>
      </c>
    </row>
    <row r="944" spans="1:6" s="537" customFormat="1">
      <c r="A944" s="532" t="s">
        <v>128</v>
      </c>
      <c r="B944" s="533">
        <v>4368</v>
      </c>
      <c r="C944" s="534" t="s">
        <v>641</v>
      </c>
      <c r="D944" s="535">
        <v>21403</v>
      </c>
      <c r="E944" s="536" t="s">
        <v>128</v>
      </c>
      <c r="F944" s="536" t="s">
        <v>128</v>
      </c>
    </row>
    <row r="945" spans="1:6" s="537" customFormat="1">
      <c r="A945" s="532" t="s">
        <v>128</v>
      </c>
      <c r="B945" s="533">
        <v>4369</v>
      </c>
      <c r="C945" s="534" t="s">
        <v>641</v>
      </c>
      <c r="D945" s="535">
        <v>3777</v>
      </c>
      <c r="E945" s="536" t="s">
        <v>128</v>
      </c>
      <c r="F945" s="536" t="s">
        <v>128</v>
      </c>
    </row>
    <row r="946" spans="1:6" s="537" customFormat="1">
      <c r="A946" s="532" t="s">
        <v>128</v>
      </c>
      <c r="B946" s="533">
        <v>4380</v>
      </c>
      <c r="C946" s="534" t="s">
        <v>642</v>
      </c>
      <c r="D946" s="535">
        <v>1000</v>
      </c>
      <c r="E946" s="536" t="s">
        <v>128</v>
      </c>
      <c r="F946" s="536" t="s">
        <v>128</v>
      </c>
    </row>
    <row r="947" spans="1:6" s="537" customFormat="1">
      <c r="A947" s="532" t="s">
        <v>128</v>
      </c>
      <c r="B947" s="533">
        <v>4390</v>
      </c>
      <c r="C947" s="534" t="s">
        <v>651</v>
      </c>
      <c r="D947" s="535">
        <v>5000</v>
      </c>
      <c r="E947" s="536" t="s">
        <v>128</v>
      </c>
      <c r="F947" s="536" t="s">
        <v>128</v>
      </c>
    </row>
    <row r="948" spans="1:6" s="537" customFormat="1">
      <c r="A948" s="532" t="s">
        <v>128</v>
      </c>
      <c r="B948" s="533">
        <v>4400</v>
      </c>
      <c r="C948" s="534" t="s">
        <v>643</v>
      </c>
      <c r="D948" s="535">
        <v>690000</v>
      </c>
      <c r="E948" s="536" t="s">
        <v>128</v>
      </c>
      <c r="F948" s="536" t="s">
        <v>128</v>
      </c>
    </row>
    <row r="949" spans="1:6" s="537" customFormat="1">
      <c r="A949" s="532" t="s">
        <v>128</v>
      </c>
      <c r="B949" s="533">
        <v>4408</v>
      </c>
      <c r="C949" s="534" t="s">
        <v>643</v>
      </c>
      <c r="D949" s="535">
        <v>78770</v>
      </c>
      <c r="E949" s="536" t="s">
        <v>128</v>
      </c>
      <c r="F949" s="536" t="s">
        <v>128</v>
      </c>
    </row>
    <row r="950" spans="1:6" s="537" customFormat="1">
      <c r="A950" s="532" t="s">
        <v>128</v>
      </c>
      <c r="B950" s="533">
        <v>4409</v>
      </c>
      <c r="C950" s="534" t="s">
        <v>643</v>
      </c>
      <c r="D950" s="535">
        <v>13900</v>
      </c>
      <c r="E950" s="536" t="s">
        <v>128</v>
      </c>
      <c r="F950" s="536" t="s">
        <v>128</v>
      </c>
    </row>
    <row r="951" spans="1:6" s="537" customFormat="1">
      <c r="A951" s="532" t="s">
        <v>128</v>
      </c>
      <c r="B951" s="533">
        <v>4410</v>
      </c>
      <c r="C951" s="534" t="s">
        <v>198</v>
      </c>
      <c r="D951" s="535">
        <v>18000</v>
      </c>
      <c r="E951" s="536" t="s">
        <v>128</v>
      </c>
      <c r="F951" s="536" t="s">
        <v>128</v>
      </c>
    </row>
    <row r="952" spans="1:6" s="537" customFormat="1">
      <c r="A952" s="532" t="s">
        <v>128</v>
      </c>
      <c r="B952" s="533">
        <v>4418</v>
      </c>
      <c r="C952" s="534" t="s">
        <v>198</v>
      </c>
      <c r="D952" s="535">
        <v>1700</v>
      </c>
      <c r="E952" s="536" t="s">
        <v>128</v>
      </c>
      <c r="F952" s="536" t="s">
        <v>128</v>
      </c>
    </row>
    <row r="953" spans="1:6" s="537" customFormat="1">
      <c r="A953" s="532" t="s">
        <v>128</v>
      </c>
      <c r="B953" s="533">
        <v>4419</v>
      </c>
      <c r="C953" s="534" t="s">
        <v>198</v>
      </c>
      <c r="D953" s="535">
        <v>300</v>
      </c>
      <c r="E953" s="536" t="s">
        <v>128</v>
      </c>
      <c r="F953" s="536" t="s">
        <v>128</v>
      </c>
    </row>
    <row r="954" spans="1:6" s="537" customFormat="1">
      <c r="A954" s="532" t="s">
        <v>128</v>
      </c>
      <c r="B954" s="533">
        <v>4420</v>
      </c>
      <c r="C954" s="534" t="s">
        <v>644</v>
      </c>
      <c r="D954" s="535">
        <v>4000</v>
      </c>
      <c r="E954" s="536" t="s">
        <v>128</v>
      </c>
      <c r="F954" s="536" t="s">
        <v>128</v>
      </c>
    </row>
    <row r="955" spans="1:6" s="537" customFormat="1">
      <c r="A955" s="532" t="s">
        <v>128</v>
      </c>
      <c r="B955" s="533">
        <v>4430</v>
      </c>
      <c r="C955" s="534" t="s">
        <v>645</v>
      </c>
      <c r="D955" s="535">
        <v>15000</v>
      </c>
      <c r="E955" s="536" t="s">
        <v>128</v>
      </c>
      <c r="F955" s="536" t="s">
        <v>128</v>
      </c>
    </row>
    <row r="956" spans="1:6" s="537" customFormat="1">
      <c r="A956" s="532" t="s">
        <v>128</v>
      </c>
      <c r="B956" s="533">
        <v>4438</v>
      </c>
      <c r="C956" s="534" t="s">
        <v>645</v>
      </c>
      <c r="D956" s="535">
        <v>3400</v>
      </c>
      <c r="E956" s="536" t="s">
        <v>128</v>
      </c>
      <c r="F956" s="536" t="s">
        <v>128</v>
      </c>
    </row>
    <row r="957" spans="1:6" s="537" customFormat="1">
      <c r="A957" s="532" t="s">
        <v>128</v>
      </c>
      <c r="B957" s="533">
        <v>4439</v>
      </c>
      <c r="C957" s="534" t="s">
        <v>645</v>
      </c>
      <c r="D957" s="535">
        <v>600</v>
      </c>
      <c r="E957" s="536" t="s">
        <v>128</v>
      </c>
      <c r="F957" s="536" t="s">
        <v>128</v>
      </c>
    </row>
    <row r="958" spans="1:6" s="537" customFormat="1">
      <c r="A958" s="532" t="s">
        <v>128</v>
      </c>
      <c r="B958" s="533">
        <v>4440</v>
      </c>
      <c r="C958" s="534" t="s">
        <v>667</v>
      </c>
      <c r="D958" s="535">
        <v>327895</v>
      </c>
      <c r="E958" s="536" t="s">
        <v>128</v>
      </c>
      <c r="F958" s="536" t="s">
        <v>128</v>
      </c>
    </row>
    <row r="959" spans="1:6" s="537" customFormat="1">
      <c r="A959" s="532" t="s">
        <v>128</v>
      </c>
      <c r="B959" s="533">
        <v>4480</v>
      </c>
      <c r="C959" s="534" t="s">
        <v>649</v>
      </c>
      <c r="D959" s="535">
        <v>30500</v>
      </c>
      <c r="E959" s="536" t="s">
        <v>128</v>
      </c>
      <c r="F959" s="536" t="s">
        <v>128</v>
      </c>
    </row>
    <row r="960" spans="1:6" s="537" customFormat="1">
      <c r="A960" s="532" t="s">
        <v>128</v>
      </c>
      <c r="B960" s="533">
        <v>4520</v>
      </c>
      <c r="C960" s="534" t="s">
        <v>656</v>
      </c>
      <c r="D960" s="535">
        <v>42000</v>
      </c>
      <c r="E960" s="536" t="s">
        <v>128</v>
      </c>
      <c r="F960" s="536" t="s">
        <v>128</v>
      </c>
    </row>
    <row r="961" spans="1:6" s="537" customFormat="1">
      <c r="A961" s="532" t="s">
        <v>128</v>
      </c>
      <c r="B961" s="533">
        <v>4618</v>
      </c>
      <c r="C961" s="534" t="s">
        <v>199</v>
      </c>
      <c r="D961" s="535">
        <v>425</v>
      </c>
      <c r="E961" s="536" t="s">
        <v>128</v>
      </c>
      <c r="F961" s="536" t="s">
        <v>128</v>
      </c>
    </row>
    <row r="962" spans="1:6" s="537" customFormat="1">
      <c r="A962" s="532" t="s">
        <v>128</v>
      </c>
      <c r="B962" s="533">
        <v>4619</v>
      </c>
      <c r="C962" s="534" t="s">
        <v>199</v>
      </c>
      <c r="D962" s="535">
        <v>75</v>
      </c>
      <c r="E962" s="536" t="s">
        <v>128</v>
      </c>
      <c r="F962" s="536" t="s">
        <v>128</v>
      </c>
    </row>
    <row r="963" spans="1:6" s="537" customFormat="1">
      <c r="A963" s="532" t="s">
        <v>128</v>
      </c>
      <c r="B963" s="533">
        <v>4700</v>
      </c>
      <c r="C963" s="534" t="s">
        <v>646</v>
      </c>
      <c r="D963" s="535">
        <v>7000</v>
      </c>
      <c r="E963" s="536" t="s">
        <v>128</v>
      </c>
      <c r="F963" s="536" t="s">
        <v>128</v>
      </c>
    </row>
    <row r="964" spans="1:6" s="537" customFormat="1">
      <c r="A964" s="532" t="s">
        <v>128</v>
      </c>
      <c r="B964" s="533">
        <v>4708</v>
      </c>
      <c r="C964" s="534" t="s">
        <v>646</v>
      </c>
      <c r="D964" s="535">
        <v>12750</v>
      </c>
      <c r="E964" s="536" t="s">
        <v>128</v>
      </c>
      <c r="F964" s="536" t="s">
        <v>128</v>
      </c>
    </row>
    <row r="965" spans="1:6" s="537" customFormat="1">
      <c r="A965" s="532" t="s">
        <v>128</v>
      </c>
      <c r="B965" s="533">
        <v>4709</v>
      </c>
      <c r="C965" s="534" t="s">
        <v>646</v>
      </c>
      <c r="D965" s="535">
        <v>2250</v>
      </c>
      <c r="E965" s="536" t="s">
        <v>128</v>
      </c>
      <c r="F965" s="536" t="s">
        <v>128</v>
      </c>
    </row>
    <row r="966" spans="1:6" s="537" customFormat="1">
      <c r="A966" s="532" t="s">
        <v>128</v>
      </c>
      <c r="B966" s="533">
        <v>4710</v>
      </c>
      <c r="C966" s="534" t="s">
        <v>204</v>
      </c>
      <c r="D966" s="535">
        <v>137860</v>
      </c>
      <c r="E966" s="536" t="s">
        <v>128</v>
      </c>
      <c r="F966" s="536" t="s">
        <v>128</v>
      </c>
    </row>
    <row r="967" spans="1:6" s="537" customFormat="1">
      <c r="A967" s="532" t="s">
        <v>128</v>
      </c>
      <c r="B967" s="533">
        <v>4718</v>
      </c>
      <c r="C967" s="534" t="s">
        <v>204</v>
      </c>
      <c r="D967" s="535">
        <v>34043</v>
      </c>
      <c r="E967" s="536" t="s">
        <v>128</v>
      </c>
      <c r="F967" s="536" t="s">
        <v>128</v>
      </c>
    </row>
    <row r="968" spans="1:6" s="537" customFormat="1">
      <c r="A968" s="532" t="s">
        <v>128</v>
      </c>
      <c r="B968" s="533">
        <v>4719</v>
      </c>
      <c r="C968" s="534" t="s">
        <v>204</v>
      </c>
      <c r="D968" s="535">
        <v>6008</v>
      </c>
      <c r="E968" s="536" t="s">
        <v>128</v>
      </c>
      <c r="F968" s="536" t="s">
        <v>128</v>
      </c>
    </row>
    <row r="969" spans="1:6" s="537" customFormat="1">
      <c r="A969" s="532" t="s">
        <v>128</v>
      </c>
      <c r="B969" s="533">
        <v>6050</v>
      </c>
      <c r="C969" s="534" t="s">
        <v>203</v>
      </c>
      <c r="D969" s="535">
        <v>105000</v>
      </c>
      <c r="E969" s="536" t="s">
        <v>128</v>
      </c>
      <c r="F969" s="536" t="s">
        <v>128</v>
      </c>
    </row>
    <row r="970" spans="1:6" s="537" customFormat="1">
      <c r="A970" s="532" t="s">
        <v>128</v>
      </c>
      <c r="B970" s="533">
        <v>6060</v>
      </c>
      <c r="C970" s="534" t="s">
        <v>263</v>
      </c>
      <c r="D970" s="535">
        <v>115000</v>
      </c>
      <c r="E970" s="536" t="s">
        <v>128</v>
      </c>
      <c r="F970" s="536" t="s">
        <v>128</v>
      </c>
    </row>
    <row r="971" spans="1:6" s="527" customFormat="1" ht="12.75" customHeight="1">
      <c r="A971" s="528">
        <v>85395</v>
      </c>
      <c r="B971" s="529" t="s">
        <v>128</v>
      </c>
      <c r="C971" s="530" t="s">
        <v>46</v>
      </c>
      <c r="D971" s="531">
        <f>SUM(D972:D1029)</f>
        <v>9733820</v>
      </c>
      <c r="E971" s="526" t="s">
        <v>128</v>
      </c>
      <c r="F971" s="526" t="s">
        <v>128</v>
      </c>
    </row>
    <row r="972" spans="1:6" s="507" customFormat="1" ht="54" customHeight="1">
      <c r="A972" s="502" t="s">
        <v>128</v>
      </c>
      <c r="B972" s="503">
        <v>2009</v>
      </c>
      <c r="C972" s="504" t="s">
        <v>683</v>
      </c>
      <c r="D972" s="505">
        <v>651000</v>
      </c>
      <c r="E972" s="506" t="s">
        <v>128</v>
      </c>
      <c r="F972" s="506" t="s">
        <v>128</v>
      </c>
    </row>
    <row r="973" spans="1:6" s="507" customFormat="1" ht="40.5" customHeight="1">
      <c r="A973" s="502" t="s">
        <v>128</v>
      </c>
      <c r="B973" s="503">
        <v>2360</v>
      </c>
      <c r="C973" s="504" t="s">
        <v>648</v>
      </c>
      <c r="D973" s="505">
        <v>150000</v>
      </c>
      <c r="E973" s="506" t="s">
        <v>128</v>
      </c>
      <c r="F973" s="506" t="s">
        <v>128</v>
      </c>
    </row>
    <row r="974" spans="1:6" s="537" customFormat="1">
      <c r="A974" s="532" t="s">
        <v>128</v>
      </c>
      <c r="B974" s="533">
        <v>3037</v>
      </c>
      <c r="C974" s="534" t="s">
        <v>669</v>
      </c>
      <c r="D974" s="535">
        <v>116272</v>
      </c>
      <c r="E974" s="536" t="s">
        <v>128</v>
      </c>
      <c r="F974" s="536" t="s">
        <v>128</v>
      </c>
    </row>
    <row r="975" spans="1:6" s="537" customFormat="1">
      <c r="A975" s="532" t="s">
        <v>128</v>
      </c>
      <c r="B975" s="533">
        <v>3039</v>
      </c>
      <c r="C975" s="534" t="s">
        <v>669</v>
      </c>
      <c r="D975" s="535">
        <v>13744</v>
      </c>
      <c r="E975" s="536" t="s">
        <v>128</v>
      </c>
      <c r="F975" s="536" t="s">
        <v>128</v>
      </c>
    </row>
    <row r="976" spans="1:6" s="537" customFormat="1">
      <c r="A976" s="532" t="s">
        <v>128</v>
      </c>
      <c r="B976" s="533">
        <v>3257</v>
      </c>
      <c r="C976" s="534" t="s">
        <v>690</v>
      </c>
      <c r="D976" s="535">
        <v>150618</v>
      </c>
      <c r="E976" s="536" t="s">
        <v>128</v>
      </c>
      <c r="F976" s="536" t="s">
        <v>128</v>
      </c>
    </row>
    <row r="977" spans="1:6" s="537" customFormat="1">
      <c r="A977" s="532" t="s">
        <v>128</v>
      </c>
      <c r="B977" s="533">
        <v>3259</v>
      </c>
      <c r="C977" s="534" t="s">
        <v>690</v>
      </c>
      <c r="D977" s="535">
        <v>17726</v>
      </c>
      <c r="E977" s="536" t="s">
        <v>128</v>
      </c>
      <c r="F977" s="536" t="s">
        <v>128</v>
      </c>
    </row>
    <row r="978" spans="1:6" s="537" customFormat="1">
      <c r="A978" s="532" t="s">
        <v>128</v>
      </c>
      <c r="B978" s="533">
        <v>4017</v>
      </c>
      <c r="C978" s="534" t="s">
        <v>188</v>
      </c>
      <c r="D978" s="535">
        <v>1376963</v>
      </c>
      <c r="E978" s="536" t="s">
        <v>128</v>
      </c>
      <c r="F978" s="536" t="s">
        <v>128</v>
      </c>
    </row>
    <row r="979" spans="1:6" s="537" customFormat="1">
      <c r="A979" s="532" t="s">
        <v>128</v>
      </c>
      <c r="B979" s="533">
        <v>4019</v>
      </c>
      <c r="C979" s="534" t="s">
        <v>188</v>
      </c>
      <c r="D979" s="535">
        <v>251494</v>
      </c>
      <c r="E979" s="536" t="s">
        <v>128</v>
      </c>
      <c r="F979" s="536" t="s">
        <v>128</v>
      </c>
    </row>
    <row r="980" spans="1:6" s="537" customFormat="1">
      <c r="A980" s="532" t="s">
        <v>128</v>
      </c>
      <c r="B980" s="533">
        <v>4047</v>
      </c>
      <c r="C980" s="534" t="s">
        <v>189</v>
      </c>
      <c r="D980" s="535">
        <v>11464</v>
      </c>
      <c r="E980" s="536" t="s">
        <v>128</v>
      </c>
      <c r="F980" s="536" t="s">
        <v>128</v>
      </c>
    </row>
    <row r="981" spans="1:6" s="537" customFormat="1">
      <c r="A981" s="532" t="s">
        <v>128</v>
      </c>
      <c r="B981" s="533">
        <v>4049</v>
      </c>
      <c r="C981" s="534" t="s">
        <v>189</v>
      </c>
      <c r="D981" s="535">
        <v>2429</v>
      </c>
      <c r="E981" s="536" t="s">
        <v>128</v>
      </c>
      <c r="F981" s="536" t="s">
        <v>128</v>
      </c>
    </row>
    <row r="982" spans="1:6" s="537" customFormat="1" ht="12.75" customHeight="1">
      <c r="A982" s="532" t="s">
        <v>128</v>
      </c>
      <c r="B982" s="533">
        <v>4117</v>
      </c>
      <c r="C982" s="534" t="s">
        <v>190</v>
      </c>
      <c r="D982" s="535">
        <v>302996</v>
      </c>
      <c r="E982" s="536" t="s">
        <v>128</v>
      </c>
      <c r="F982" s="536" t="s">
        <v>128</v>
      </c>
    </row>
    <row r="983" spans="1:6" s="537" customFormat="1">
      <c r="A983" s="542" t="s">
        <v>128</v>
      </c>
      <c r="B983" s="543">
        <v>4119</v>
      </c>
      <c r="C983" s="544" t="s">
        <v>190</v>
      </c>
      <c r="D983" s="545">
        <v>51220</v>
      </c>
      <c r="E983" s="536" t="s">
        <v>128</v>
      </c>
      <c r="F983" s="536" t="s">
        <v>128</v>
      </c>
    </row>
    <row r="984" spans="1:6" s="537" customFormat="1">
      <c r="A984" s="546" t="s">
        <v>128</v>
      </c>
      <c r="B984" s="547">
        <v>4127</v>
      </c>
      <c r="C984" s="548" t="s">
        <v>191</v>
      </c>
      <c r="D984" s="549">
        <v>34016</v>
      </c>
      <c r="E984" s="536" t="s">
        <v>128</v>
      </c>
      <c r="F984" s="536" t="s">
        <v>128</v>
      </c>
    </row>
    <row r="985" spans="1:6" s="537" customFormat="1">
      <c r="A985" s="532" t="s">
        <v>128</v>
      </c>
      <c r="B985" s="533">
        <v>4129</v>
      </c>
      <c r="C985" s="534" t="s">
        <v>191</v>
      </c>
      <c r="D985" s="535">
        <v>6222</v>
      </c>
      <c r="E985" s="536" t="s">
        <v>128</v>
      </c>
      <c r="F985" s="536" t="s">
        <v>128</v>
      </c>
    </row>
    <row r="986" spans="1:6" s="537" customFormat="1">
      <c r="A986" s="532" t="s">
        <v>128</v>
      </c>
      <c r="B986" s="533">
        <v>4177</v>
      </c>
      <c r="C986" s="534" t="s">
        <v>192</v>
      </c>
      <c r="D986" s="535">
        <v>46546</v>
      </c>
      <c r="E986" s="536" t="s">
        <v>128</v>
      </c>
      <c r="F986" s="536" t="s">
        <v>128</v>
      </c>
    </row>
    <row r="987" spans="1:6" s="537" customFormat="1">
      <c r="A987" s="532" t="s">
        <v>128</v>
      </c>
      <c r="B987" s="533">
        <v>4179</v>
      </c>
      <c r="C987" s="534" t="s">
        <v>192</v>
      </c>
      <c r="D987" s="535">
        <v>6254</v>
      </c>
      <c r="E987" s="536" t="s">
        <v>128</v>
      </c>
      <c r="F987" s="536" t="s">
        <v>128</v>
      </c>
    </row>
    <row r="988" spans="1:6" s="537" customFormat="1">
      <c r="A988" s="532" t="s">
        <v>128</v>
      </c>
      <c r="B988" s="533">
        <v>4190</v>
      </c>
      <c r="C988" s="534" t="s">
        <v>193</v>
      </c>
      <c r="D988" s="535">
        <v>28000</v>
      </c>
      <c r="E988" s="536" t="s">
        <v>128</v>
      </c>
      <c r="F988" s="536" t="s">
        <v>128</v>
      </c>
    </row>
    <row r="989" spans="1:6" s="537" customFormat="1">
      <c r="A989" s="532" t="s">
        <v>128</v>
      </c>
      <c r="B989" s="533">
        <v>4210</v>
      </c>
      <c r="C989" s="534" t="s">
        <v>194</v>
      </c>
      <c r="D989" s="535">
        <v>3500</v>
      </c>
      <c r="E989" s="536" t="s">
        <v>128</v>
      </c>
      <c r="F989" s="536" t="s">
        <v>128</v>
      </c>
    </row>
    <row r="990" spans="1:6" s="537" customFormat="1">
      <c r="A990" s="532" t="s">
        <v>128</v>
      </c>
      <c r="B990" s="533">
        <v>4217</v>
      </c>
      <c r="C990" s="534" t="s">
        <v>194</v>
      </c>
      <c r="D990" s="535">
        <v>266768</v>
      </c>
      <c r="E990" s="536" t="s">
        <v>128</v>
      </c>
      <c r="F990" s="536" t="s">
        <v>128</v>
      </c>
    </row>
    <row r="991" spans="1:6" s="537" customFormat="1">
      <c r="A991" s="532" t="s">
        <v>128</v>
      </c>
      <c r="B991" s="533">
        <v>4219</v>
      </c>
      <c r="C991" s="534" t="s">
        <v>194</v>
      </c>
      <c r="D991" s="535">
        <v>31629</v>
      </c>
      <c r="E991" s="536" t="s">
        <v>128</v>
      </c>
      <c r="F991" s="536" t="s">
        <v>128</v>
      </c>
    </row>
    <row r="992" spans="1:6" s="537" customFormat="1">
      <c r="A992" s="532" t="s">
        <v>128</v>
      </c>
      <c r="B992" s="533">
        <v>4220</v>
      </c>
      <c r="C992" s="534" t="s">
        <v>195</v>
      </c>
      <c r="D992" s="535">
        <v>2700</v>
      </c>
      <c r="E992" s="536" t="s">
        <v>128</v>
      </c>
      <c r="F992" s="536" t="s">
        <v>128</v>
      </c>
    </row>
    <row r="993" spans="1:6" s="537" customFormat="1">
      <c r="A993" s="532" t="s">
        <v>128</v>
      </c>
      <c r="B993" s="533">
        <v>4227</v>
      </c>
      <c r="C993" s="534" t="s">
        <v>195</v>
      </c>
      <c r="D993" s="535">
        <v>14176</v>
      </c>
      <c r="E993" s="536" t="s">
        <v>128</v>
      </c>
      <c r="F993" s="536" t="s">
        <v>128</v>
      </c>
    </row>
    <row r="994" spans="1:6" s="537" customFormat="1">
      <c r="A994" s="532" t="s">
        <v>128</v>
      </c>
      <c r="B994" s="533">
        <v>4229</v>
      </c>
      <c r="C994" s="534" t="s">
        <v>195</v>
      </c>
      <c r="D994" s="535">
        <v>1824</v>
      </c>
      <c r="E994" s="536" t="s">
        <v>128</v>
      </c>
      <c r="F994" s="536" t="s">
        <v>128</v>
      </c>
    </row>
    <row r="995" spans="1:6" s="537" customFormat="1">
      <c r="A995" s="532" t="s">
        <v>128</v>
      </c>
      <c r="B995" s="533">
        <v>4267</v>
      </c>
      <c r="C995" s="534" t="s">
        <v>640</v>
      </c>
      <c r="D995" s="535">
        <v>9761</v>
      </c>
      <c r="E995" s="536" t="s">
        <v>128</v>
      </c>
      <c r="F995" s="536" t="s">
        <v>128</v>
      </c>
    </row>
    <row r="996" spans="1:6" s="537" customFormat="1">
      <c r="A996" s="532" t="s">
        <v>128</v>
      </c>
      <c r="B996" s="533">
        <v>4269</v>
      </c>
      <c r="C996" s="534" t="s">
        <v>640</v>
      </c>
      <c r="D996" s="535">
        <v>1459</v>
      </c>
      <c r="E996" s="536" t="s">
        <v>128</v>
      </c>
      <c r="F996" s="536" t="s">
        <v>128</v>
      </c>
    </row>
    <row r="997" spans="1:6" s="537" customFormat="1">
      <c r="A997" s="532" t="s">
        <v>128</v>
      </c>
      <c r="B997" s="533">
        <v>4287</v>
      </c>
      <c r="C997" s="534" t="s">
        <v>666</v>
      </c>
      <c r="D997" s="535">
        <v>18833</v>
      </c>
      <c r="E997" s="536" t="s">
        <v>128</v>
      </c>
      <c r="F997" s="536" t="s">
        <v>128</v>
      </c>
    </row>
    <row r="998" spans="1:6" s="537" customFormat="1">
      <c r="A998" s="532" t="s">
        <v>128</v>
      </c>
      <c r="B998" s="533">
        <v>4289</v>
      </c>
      <c r="C998" s="534" t="s">
        <v>666</v>
      </c>
      <c r="D998" s="535">
        <v>2217</v>
      </c>
      <c r="E998" s="536" t="s">
        <v>128</v>
      </c>
      <c r="F998" s="536" t="s">
        <v>128</v>
      </c>
    </row>
    <row r="999" spans="1:6" s="537" customFormat="1">
      <c r="A999" s="532" t="s">
        <v>128</v>
      </c>
      <c r="B999" s="533">
        <v>4300</v>
      </c>
      <c r="C999" s="534" t="s">
        <v>197</v>
      </c>
      <c r="D999" s="535">
        <v>142300</v>
      </c>
      <c r="E999" s="536" t="s">
        <v>128</v>
      </c>
      <c r="F999" s="536" t="s">
        <v>128</v>
      </c>
    </row>
    <row r="1000" spans="1:6" s="537" customFormat="1">
      <c r="A1000" s="532" t="s">
        <v>128</v>
      </c>
      <c r="B1000" s="533">
        <v>4307</v>
      </c>
      <c r="C1000" s="534" t="s">
        <v>197</v>
      </c>
      <c r="D1000" s="535">
        <v>2762262</v>
      </c>
      <c r="E1000" s="536" t="s">
        <v>128</v>
      </c>
      <c r="F1000" s="536" t="s">
        <v>128</v>
      </c>
    </row>
    <row r="1001" spans="1:6" s="537" customFormat="1">
      <c r="A1001" s="532" t="s">
        <v>128</v>
      </c>
      <c r="B1001" s="533">
        <v>4309</v>
      </c>
      <c r="C1001" s="534" t="s">
        <v>197</v>
      </c>
      <c r="D1001" s="535">
        <v>527009</v>
      </c>
      <c r="E1001" s="536" t="s">
        <v>128</v>
      </c>
      <c r="F1001" s="536" t="s">
        <v>128</v>
      </c>
    </row>
    <row r="1002" spans="1:6" s="507" customFormat="1" ht="27.75" customHeight="1">
      <c r="A1002" s="502" t="s">
        <v>128</v>
      </c>
      <c r="B1002" s="503">
        <v>4350</v>
      </c>
      <c r="C1002" s="504" t="s">
        <v>686</v>
      </c>
      <c r="D1002" s="505">
        <v>127620</v>
      </c>
      <c r="E1002" s="506" t="s">
        <v>128</v>
      </c>
      <c r="F1002" s="506" t="s">
        <v>128</v>
      </c>
    </row>
    <row r="1003" spans="1:6" s="537" customFormat="1">
      <c r="A1003" s="532" t="s">
        <v>128</v>
      </c>
      <c r="B1003" s="533">
        <v>4367</v>
      </c>
      <c r="C1003" s="534" t="s">
        <v>641</v>
      </c>
      <c r="D1003" s="535">
        <v>1170</v>
      </c>
      <c r="E1003" s="536" t="s">
        <v>128</v>
      </c>
      <c r="F1003" s="536" t="s">
        <v>128</v>
      </c>
    </row>
    <row r="1004" spans="1:6" s="537" customFormat="1">
      <c r="A1004" s="532" t="s">
        <v>128</v>
      </c>
      <c r="B1004" s="533">
        <v>4369</v>
      </c>
      <c r="C1004" s="534" t="s">
        <v>641</v>
      </c>
      <c r="D1004" s="535">
        <v>138</v>
      </c>
      <c r="E1004" s="536" t="s">
        <v>128</v>
      </c>
      <c r="F1004" s="536" t="s">
        <v>128</v>
      </c>
    </row>
    <row r="1005" spans="1:6" s="537" customFormat="1">
      <c r="A1005" s="532" t="s">
        <v>128</v>
      </c>
      <c r="B1005" s="533">
        <v>4370</v>
      </c>
      <c r="C1005" s="534" t="s">
        <v>687</v>
      </c>
      <c r="D1005" s="535">
        <v>1200000</v>
      </c>
      <c r="E1005" s="536" t="s">
        <v>128</v>
      </c>
      <c r="F1005" s="536" t="s">
        <v>128</v>
      </c>
    </row>
    <row r="1006" spans="1:6" s="537" customFormat="1">
      <c r="A1006" s="532" t="s">
        <v>128</v>
      </c>
      <c r="B1006" s="533">
        <v>4387</v>
      </c>
      <c r="C1006" s="534" t="s">
        <v>642</v>
      </c>
      <c r="D1006" s="535">
        <v>201530</v>
      </c>
      <c r="E1006" s="536" t="s">
        <v>128</v>
      </c>
      <c r="F1006" s="536" t="s">
        <v>128</v>
      </c>
    </row>
    <row r="1007" spans="1:6" s="537" customFormat="1">
      <c r="A1007" s="532" t="s">
        <v>128</v>
      </c>
      <c r="B1007" s="533">
        <v>4389</v>
      </c>
      <c r="C1007" s="534" t="s">
        <v>642</v>
      </c>
      <c r="D1007" s="535">
        <v>23719</v>
      </c>
      <c r="E1007" s="536" t="s">
        <v>128</v>
      </c>
      <c r="F1007" s="536" t="s">
        <v>128</v>
      </c>
    </row>
    <row r="1008" spans="1:6" s="537" customFormat="1">
      <c r="A1008" s="532" t="s">
        <v>128</v>
      </c>
      <c r="B1008" s="533">
        <v>4397</v>
      </c>
      <c r="C1008" s="534" t="s">
        <v>651</v>
      </c>
      <c r="D1008" s="535">
        <v>320178</v>
      </c>
      <c r="E1008" s="536" t="s">
        <v>128</v>
      </c>
      <c r="F1008" s="536" t="s">
        <v>128</v>
      </c>
    </row>
    <row r="1009" spans="1:6" s="537" customFormat="1">
      <c r="A1009" s="532" t="s">
        <v>128</v>
      </c>
      <c r="B1009" s="533">
        <v>4399</v>
      </c>
      <c r="C1009" s="534" t="s">
        <v>651</v>
      </c>
      <c r="D1009" s="535">
        <v>67822</v>
      </c>
      <c r="E1009" s="536" t="s">
        <v>128</v>
      </c>
      <c r="F1009" s="536" t="s">
        <v>128</v>
      </c>
    </row>
    <row r="1010" spans="1:6" s="537" customFormat="1">
      <c r="A1010" s="532" t="s">
        <v>128</v>
      </c>
      <c r="B1010" s="533">
        <v>4407</v>
      </c>
      <c r="C1010" s="534" t="s">
        <v>643</v>
      </c>
      <c r="D1010" s="535">
        <v>9016</v>
      </c>
      <c r="E1010" s="536" t="s">
        <v>128</v>
      </c>
      <c r="F1010" s="536" t="s">
        <v>128</v>
      </c>
    </row>
    <row r="1011" spans="1:6" s="537" customFormat="1">
      <c r="A1011" s="532" t="s">
        <v>128</v>
      </c>
      <c r="B1011" s="533">
        <v>4409</v>
      </c>
      <c r="C1011" s="534" t="s">
        <v>643</v>
      </c>
      <c r="D1011" s="535">
        <v>1061</v>
      </c>
      <c r="E1011" s="536" t="s">
        <v>128</v>
      </c>
      <c r="F1011" s="536" t="s">
        <v>128</v>
      </c>
    </row>
    <row r="1012" spans="1:6" s="537" customFormat="1">
      <c r="A1012" s="532" t="s">
        <v>128</v>
      </c>
      <c r="B1012" s="533">
        <v>4417</v>
      </c>
      <c r="C1012" s="534" t="s">
        <v>198</v>
      </c>
      <c r="D1012" s="535">
        <v>17474</v>
      </c>
      <c r="E1012" s="536" t="s">
        <v>128</v>
      </c>
      <c r="F1012" s="536" t="s">
        <v>128</v>
      </c>
    </row>
    <row r="1013" spans="1:6" s="537" customFormat="1">
      <c r="A1013" s="532" t="s">
        <v>128</v>
      </c>
      <c r="B1013" s="533">
        <v>4419</v>
      </c>
      <c r="C1013" s="534" t="s">
        <v>198</v>
      </c>
      <c r="D1013" s="535">
        <v>3182</v>
      </c>
      <c r="E1013" s="536" t="s">
        <v>128</v>
      </c>
      <c r="F1013" s="536" t="s">
        <v>128</v>
      </c>
    </row>
    <row r="1014" spans="1:6" s="537" customFormat="1">
      <c r="A1014" s="532" t="s">
        <v>128</v>
      </c>
      <c r="B1014" s="533">
        <v>4427</v>
      </c>
      <c r="C1014" s="534" t="s">
        <v>644</v>
      </c>
      <c r="D1014" s="535">
        <v>21043</v>
      </c>
      <c r="E1014" s="536" t="s">
        <v>128</v>
      </c>
      <c r="F1014" s="536" t="s">
        <v>128</v>
      </c>
    </row>
    <row r="1015" spans="1:6" s="537" customFormat="1">
      <c r="A1015" s="532" t="s">
        <v>128</v>
      </c>
      <c r="B1015" s="533">
        <v>4429</v>
      </c>
      <c r="C1015" s="534" t="s">
        <v>644</v>
      </c>
      <c r="D1015" s="535">
        <v>4457</v>
      </c>
      <c r="E1015" s="536" t="s">
        <v>128</v>
      </c>
      <c r="F1015" s="536" t="s">
        <v>128</v>
      </c>
    </row>
    <row r="1016" spans="1:6" s="537" customFormat="1">
      <c r="A1016" s="532" t="s">
        <v>128</v>
      </c>
      <c r="B1016" s="533">
        <v>4437</v>
      </c>
      <c r="C1016" s="534" t="s">
        <v>645</v>
      </c>
      <c r="D1016" s="535">
        <v>6398</v>
      </c>
      <c r="E1016" s="536" t="s">
        <v>128</v>
      </c>
      <c r="F1016" s="536" t="s">
        <v>128</v>
      </c>
    </row>
    <row r="1017" spans="1:6" s="537" customFormat="1">
      <c r="A1017" s="532" t="s">
        <v>128</v>
      </c>
      <c r="B1017" s="533">
        <v>4439</v>
      </c>
      <c r="C1017" s="534" t="s">
        <v>645</v>
      </c>
      <c r="D1017" s="535">
        <v>831</v>
      </c>
      <c r="E1017" s="536" t="s">
        <v>128</v>
      </c>
      <c r="F1017" s="536" t="s">
        <v>128</v>
      </c>
    </row>
    <row r="1018" spans="1:6" s="537" customFormat="1">
      <c r="A1018" s="532" t="s">
        <v>128</v>
      </c>
      <c r="B1018" s="533">
        <v>4447</v>
      </c>
      <c r="C1018" s="534" t="s">
        <v>667</v>
      </c>
      <c r="D1018" s="535">
        <v>15797</v>
      </c>
      <c r="E1018" s="536" t="s">
        <v>128</v>
      </c>
      <c r="F1018" s="536" t="s">
        <v>128</v>
      </c>
    </row>
    <row r="1019" spans="1:6" s="537" customFormat="1">
      <c r="A1019" s="532" t="s">
        <v>128</v>
      </c>
      <c r="B1019" s="533">
        <v>4449</v>
      </c>
      <c r="C1019" s="534" t="s">
        <v>667</v>
      </c>
      <c r="D1019" s="535">
        <v>3347</v>
      </c>
      <c r="E1019" s="536" t="s">
        <v>128</v>
      </c>
      <c r="F1019" s="536" t="s">
        <v>128</v>
      </c>
    </row>
    <row r="1020" spans="1:6" s="537" customFormat="1">
      <c r="A1020" s="532" t="s">
        <v>128</v>
      </c>
      <c r="B1020" s="533">
        <v>4487</v>
      </c>
      <c r="C1020" s="534" t="s">
        <v>649</v>
      </c>
      <c r="D1020" s="535">
        <v>552</v>
      </c>
      <c r="E1020" s="536" t="s">
        <v>128</v>
      </c>
      <c r="F1020" s="536" t="s">
        <v>128</v>
      </c>
    </row>
    <row r="1021" spans="1:6" s="537" customFormat="1">
      <c r="A1021" s="532" t="s">
        <v>128</v>
      </c>
      <c r="B1021" s="533">
        <v>4489</v>
      </c>
      <c r="C1021" s="534" t="s">
        <v>649</v>
      </c>
      <c r="D1021" s="535">
        <v>65</v>
      </c>
      <c r="E1021" s="536" t="s">
        <v>128</v>
      </c>
      <c r="F1021" s="536" t="s">
        <v>128</v>
      </c>
    </row>
    <row r="1022" spans="1:6" s="537" customFormat="1">
      <c r="A1022" s="532" t="s">
        <v>128</v>
      </c>
      <c r="B1022" s="533">
        <v>4707</v>
      </c>
      <c r="C1022" s="534" t="s">
        <v>646</v>
      </c>
      <c r="D1022" s="535">
        <v>8252</v>
      </c>
      <c r="E1022" s="536" t="s">
        <v>128</v>
      </c>
      <c r="F1022" s="536" t="s">
        <v>128</v>
      </c>
    </row>
    <row r="1023" spans="1:6" s="537" customFormat="1">
      <c r="A1023" s="532" t="s">
        <v>128</v>
      </c>
      <c r="B1023" s="533">
        <v>4709</v>
      </c>
      <c r="C1023" s="534" t="s">
        <v>646</v>
      </c>
      <c r="D1023" s="535">
        <v>1748</v>
      </c>
      <c r="E1023" s="536" t="s">
        <v>128</v>
      </c>
      <c r="F1023" s="536" t="s">
        <v>128</v>
      </c>
    </row>
    <row r="1024" spans="1:6" s="537" customFormat="1">
      <c r="A1024" s="532" t="s">
        <v>128</v>
      </c>
      <c r="B1024" s="533">
        <v>4717</v>
      </c>
      <c r="C1024" s="534" t="s">
        <v>204</v>
      </c>
      <c r="D1024" s="535">
        <v>20829</v>
      </c>
      <c r="E1024" s="536" t="s">
        <v>128</v>
      </c>
      <c r="F1024" s="536" t="s">
        <v>128</v>
      </c>
    </row>
    <row r="1025" spans="1:6" s="537" customFormat="1">
      <c r="A1025" s="532" t="s">
        <v>128</v>
      </c>
      <c r="B1025" s="533">
        <v>4719</v>
      </c>
      <c r="C1025" s="534" t="s">
        <v>204</v>
      </c>
      <c r="D1025" s="535">
        <v>3809</v>
      </c>
      <c r="E1025" s="536" t="s">
        <v>128</v>
      </c>
      <c r="F1025" s="536" t="s">
        <v>128</v>
      </c>
    </row>
    <row r="1026" spans="1:6" s="537" customFormat="1">
      <c r="A1026" s="532" t="s">
        <v>128</v>
      </c>
      <c r="B1026" s="533">
        <v>4740</v>
      </c>
      <c r="C1026" s="534" t="s">
        <v>691</v>
      </c>
      <c r="D1026" s="535">
        <v>285000</v>
      </c>
      <c r="E1026" s="536" t="s">
        <v>128</v>
      </c>
      <c r="F1026" s="536" t="s">
        <v>128</v>
      </c>
    </row>
    <row r="1027" spans="1:6" s="507" customFormat="1" ht="29.25" customHeight="1">
      <c r="A1027" s="502" t="s">
        <v>128</v>
      </c>
      <c r="B1027" s="503">
        <v>4840</v>
      </c>
      <c r="C1027" s="504" t="s">
        <v>692</v>
      </c>
      <c r="D1027" s="505">
        <v>128100</v>
      </c>
      <c r="E1027" s="506" t="s">
        <v>128</v>
      </c>
      <c r="F1027" s="506" t="s">
        <v>128</v>
      </c>
    </row>
    <row r="1028" spans="1:6" s="507" customFormat="1" ht="29.25" customHeight="1">
      <c r="A1028" s="502" t="s">
        <v>128</v>
      </c>
      <c r="B1028" s="503">
        <v>4850</v>
      </c>
      <c r="C1028" s="504" t="s">
        <v>693</v>
      </c>
      <c r="D1028" s="505">
        <v>87330</v>
      </c>
      <c r="E1028" s="506" t="s">
        <v>128</v>
      </c>
      <c r="F1028" s="506" t="s">
        <v>128</v>
      </c>
    </row>
    <row r="1029" spans="1:6" s="537" customFormat="1" ht="12.75" customHeight="1">
      <c r="A1029" s="532" t="s">
        <v>128</v>
      </c>
      <c r="B1029" s="533">
        <v>4860</v>
      </c>
      <c r="C1029" s="534" t="s">
        <v>688</v>
      </c>
      <c r="D1029" s="535">
        <v>171950</v>
      </c>
      <c r="E1029" s="536" t="s">
        <v>128</v>
      </c>
      <c r="F1029" s="536" t="s">
        <v>128</v>
      </c>
    </row>
    <row r="1030" spans="1:6" s="527" customFormat="1" ht="13.5" customHeight="1">
      <c r="A1030" s="522">
        <v>854</v>
      </c>
      <c r="B1030" s="523" t="s">
        <v>128</v>
      </c>
      <c r="C1030" s="524" t="s">
        <v>8</v>
      </c>
      <c r="D1030" s="525">
        <f>D1031+D1058+D1076+D1092+D1111+D1113+D1129+D1131</f>
        <v>50020950</v>
      </c>
      <c r="E1030" s="526" t="s">
        <v>128</v>
      </c>
      <c r="F1030" s="526" t="s">
        <v>128</v>
      </c>
    </row>
    <row r="1031" spans="1:6" s="527" customFormat="1">
      <c r="A1031" s="528">
        <v>85403</v>
      </c>
      <c r="B1031" s="529" t="s">
        <v>128</v>
      </c>
      <c r="C1031" s="530" t="s">
        <v>88</v>
      </c>
      <c r="D1031" s="531">
        <f>SUM(D1032:D1057)</f>
        <v>31039373</v>
      </c>
      <c r="E1031" s="526" t="s">
        <v>128</v>
      </c>
      <c r="F1031" s="526" t="s">
        <v>128</v>
      </c>
    </row>
    <row r="1032" spans="1:6" s="537" customFormat="1">
      <c r="A1032" s="532" t="s">
        <v>128</v>
      </c>
      <c r="B1032" s="533">
        <v>3020</v>
      </c>
      <c r="C1032" s="534" t="s">
        <v>664</v>
      </c>
      <c r="D1032" s="535">
        <v>15130</v>
      </c>
      <c r="E1032" s="536" t="s">
        <v>128</v>
      </c>
      <c r="F1032" s="536" t="s">
        <v>128</v>
      </c>
    </row>
    <row r="1033" spans="1:6" s="537" customFormat="1">
      <c r="A1033" s="532" t="s">
        <v>128</v>
      </c>
      <c r="B1033" s="533">
        <v>4010</v>
      </c>
      <c r="C1033" s="534" t="s">
        <v>188</v>
      </c>
      <c r="D1033" s="535">
        <v>6146372</v>
      </c>
      <c r="E1033" s="536" t="s">
        <v>128</v>
      </c>
      <c r="F1033" s="536" t="s">
        <v>128</v>
      </c>
    </row>
    <row r="1034" spans="1:6" s="537" customFormat="1">
      <c r="A1034" s="532" t="s">
        <v>128</v>
      </c>
      <c r="B1034" s="533">
        <v>4040</v>
      </c>
      <c r="C1034" s="534" t="s">
        <v>189</v>
      </c>
      <c r="D1034" s="535">
        <v>425017</v>
      </c>
      <c r="E1034" s="536" t="s">
        <v>128</v>
      </c>
      <c r="F1034" s="536" t="s">
        <v>128</v>
      </c>
    </row>
    <row r="1035" spans="1:6" s="537" customFormat="1">
      <c r="A1035" s="532" t="s">
        <v>128</v>
      </c>
      <c r="B1035" s="533">
        <v>4110</v>
      </c>
      <c r="C1035" s="534" t="s">
        <v>190</v>
      </c>
      <c r="D1035" s="535">
        <v>3226536</v>
      </c>
      <c r="E1035" s="536" t="s">
        <v>128</v>
      </c>
      <c r="F1035" s="536" t="s">
        <v>128</v>
      </c>
    </row>
    <row r="1036" spans="1:6" s="537" customFormat="1">
      <c r="A1036" s="532" t="s">
        <v>128</v>
      </c>
      <c r="B1036" s="533">
        <v>4120</v>
      </c>
      <c r="C1036" s="534" t="s">
        <v>191</v>
      </c>
      <c r="D1036" s="535">
        <v>393127</v>
      </c>
      <c r="E1036" s="536" t="s">
        <v>128</v>
      </c>
      <c r="F1036" s="536" t="s">
        <v>128</v>
      </c>
    </row>
    <row r="1037" spans="1:6" s="537" customFormat="1">
      <c r="A1037" s="532" t="s">
        <v>128</v>
      </c>
      <c r="B1037" s="533">
        <v>4210</v>
      </c>
      <c r="C1037" s="534" t="s">
        <v>194</v>
      </c>
      <c r="D1037" s="535">
        <v>166000</v>
      </c>
      <c r="E1037" s="536" t="s">
        <v>128</v>
      </c>
      <c r="F1037" s="536" t="s">
        <v>128</v>
      </c>
    </row>
    <row r="1038" spans="1:6" s="537" customFormat="1">
      <c r="A1038" s="532" t="s">
        <v>128</v>
      </c>
      <c r="B1038" s="533">
        <v>4220</v>
      </c>
      <c r="C1038" s="534" t="s">
        <v>195</v>
      </c>
      <c r="D1038" s="535">
        <v>678744</v>
      </c>
      <c r="E1038" s="536" t="s">
        <v>128</v>
      </c>
      <c r="F1038" s="536" t="s">
        <v>128</v>
      </c>
    </row>
    <row r="1039" spans="1:6" s="537" customFormat="1">
      <c r="A1039" s="532" t="s">
        <v>128</v>
      </c>
      <c r="B1039" s="533">
        <v>4240</v>
      </c>
      <c r="C1039" s="534" t="s">
        <v>679</v>
      </c>
      <c r="D1039" s="535">
        <v>99300</v>
      </c>
      <c r="E1039" s="536" t="s">
        <v>128</v>
      </c>
      <c r="F1039" s="536" t="s">
        <v>128</v>
      </c>
    </row>
    <row r="1040" spans="1:6" s="537" customFormat="1">
      <c r="A1040" s="532" t="s">
        <v>128</v>
      </c>
      <c r="B1040" s="533">
        <v>4260</v>
      </c>
      <c r="C1040" s="534" t="s">
        <v>640</v>
      </c>
      <c r="D1040" s="535">
        <v>893600</v>
      </c>
      <c r="E1040" s="536" t="s">
        <v>128</v>
      </c>
      <c r="F1040" s="536" t="s">
        <v>128</v>
      </c>
    </row>
    <row r="1041" spans="1:6" s="537" customFormat="1">
      <c r="A1041" s="532" t="s">
        <v>128</v>
      </c>
      <c r="B1041" s="533">
        <v>4270</v>
      </c>
      <c r="C1041" s="534" t="s">
        <v>196</v>
      </c>
      <c r="D1041" s="535">
        <v>164500</v>
      </c>
      <c r="E1041" s="536" t="s">
        <v>128</v>
      </c>
      <c r="F1041" s="536" t="s">
        <v>128</v>
      </c>
    </row>
    <row r="1042" spans="1:6" s="537" customFormat="1">
      <c r="A1042" s="532" t="s">
        <v>128</v>
      </c>
      <c r="B1042" s="533">
        <v>4280</v>
      </c>
      <c r="C1042" s="534" t="s">
        <v>666</v>
      </c>
      <c r="D1042" s="535">
        <v>18240</v>
      </c>
      <c r="E1042" s="536" t="s">
        <v>128</v>
      </c>
      <c r="F1042" s="536" t="s">
        <v>128</v>
      </c>
    </row>
    <row r="1043" spans="1:6" s="537" customFormat="1">
      <c r="A1043" s="532" t="s">
        <v>128</v>
      </c>
      <c r="B1043" s="533">
        <v>4300</v>
      </c>
      <c r="C1043" s="534" t="s">
        <v>197</v>
      </c>
      <c r="D1043" s="535">
        <v>646049</v>
      </c>
      <c r="E1043" s="536" t="s">
        <v>128</v>
      </c>
      <c r="F1043" s="536" t="s">
        <v>128</v>
      </c>
    </row>
    <row r="1044" spans="1:6" s="537" customFormat="1">
      <c r="A1044" s="532" t="s">
        <v>128</v>
      </c>
      <c r="B1044" s="533">
        <v>4360</v>
      </c>
      <c r="C1044" s="534" t="s">
        <v>641</v>
      </c>
      <c r="D1044" s="535">
        <v>16830</v>
      </c>
      <c r="E1044" s="536" t="s">
        <v>128</v>
      </c>
      <c r="F1044" s="536" t="s">
        <v>128</v>
      </c>
    </row>
    <row r="1045" spans="1:6" s="537" customFormat="1">
      <c r="A1045" s="532" t="s">
        <v>128</v>
      </c>
      <c r="B1045" s="533">
        <v>4390</v>
      </c>
      <c r="C1045" s="534" t="s">
        <v>651</v>
      </c>
      <c r="D1045" s="535">
        <v>1100</v>
      </c>
      <c r="E1045" s="536" t="s">
        <v>128</v>
      </c>
      <c r="F1045" s="536" t="s">
        <v>128</v>
      </c>
    </row>
    <row r="1046" spans="1:6" s="537" customFormat="1">
      <c r="A1046" s="532" t="s">
        <v>128</v>
      </c>
      <c r="B1046" s="533">
        <v>4410</v>
      </c>
      <c r="C1046" s="534" t="s">
        <v>198</v>
      </c>
      <c r="D1046" s="535">
        <v>2500</v>
      </c>
      <c r="E1046" s="536" t="s">
        <v>128</v>
      </c>
      <c r="F1046" s="536" t="s">
        <v>128</v>
      </c>
    </row>
    <row r="1047" spans="1:6" s="537" customFormat="1">
      <c r="A1047" s="532" t="s">
        <v>128</v>
      </c>
      <c r="B1047" s="533">
        <v>4430</v>
      </c>
      <c r="C1047" s="534" t="s">
        <v>645</v>
      </c>
      <c r="D1047" s="535">
        <v>54267</v>
      </c>
      <c r="E1047" s="536" t="s">
        <v>128</v>
      </c>
      <c r="F1047" s="536" t="s">
        <v>128</v>
      </c>
    </row>
    <row r="1048" spans="1:6" s="537" customFormat="1">
      <c r="A1048" s="532" t="s">
        <v>128</v>
      </c>
      <c r="B1048" s="533">
        <v>4440</v>
      </c>
      <c r="C1048" s="534" t="s">
        <v>667</v>
      </c>
      <c r="D1048" s="535">
        <v>599098</v>
      </c>
      <c r="E1048" s="536" t="s">
        <v>128</v>
      </c>
      <c r="F1048" s="536" t="s">
        <v>128</v>
      </c>
    </row>
    <row r="1049" spans="1:6" s="537" customFormat="1">
      <c r="A1049" s="532" t="s">
        <v>128</v>
      </c>
      <c r="B1049" s="533">
        <v>4480</v>
      </c>
      <c r="C1049" s="534" t="s">
        <v>649</v>
      </c>
      <c r="D1049" s="535">
        <v>150</v>
      </c>
      <c r="E1049" s="536" t="s">
        <v>128</v>
      </c>
      <c r="F1049" s="536" t="s">
        <v>128</v>
      </c>
    </row>
    <row r="1050" spans="1:6" s="537" customFormat="1">
      <c r="A1050" s="532" t="s">
        <v>128</v>
      </c>
      <c r="B1050" s="533">
        <v>4500</v>
      </c>
      <c r="C1050" s="534" t="s">
        <v>662</v>
      </c>
      <c r="D1050" s="535">
        <v>1500</v>
      </c>
      <c r="E1050" s="536" t="s">
        <v>128</v>
      </c>
      <c r="F1050" s="536" t="s">
        <v>128</v>
      </c>
    </row>
    <row r="1051" spans="1:6" s="537" customFormat="1" ht="12.75" customHeight="1">
      <c r="A1051" s="532" t="s">
        <v>128</v>
      </c>
      <c r="B1051" s="533">
        <v>4520</v>
      </c>
      <c r="C1051" s="534" t="s">
        <v>656</v>
      </c>
      <c r="D1051" s="535">
        <v>1225</v>
      </c>
      <c r="E1051" s="536" t="s">
        <v>128</v>
      </c>
      <c r="F1051" s="536" t="s">
        <v>128</v>
      </c>
    </row>
    <row r="1052" spans="1:6" s="537" customFormat="1">
      <c r="A1052" s="532" t="s">
        <v>128</v>
      </c>
      <c r="B1052" s="533">
        <v>4700</v>
      </c>
      <c r="C1052" s="534" t="s">
        <v>646</v>
      </c>
      <c r="D1052" s="535">
        <v>12000</v>
      </c>
      <c r="E1052" s="536" t="s">
        <v>128</v>
      </c>
      <c r="F1052" s="536" t="s">
        <v>128</v>
      </c>
    </row>
    <row r="1053" spans="1:6" s="537" customFormat="1">
      <c r="A1053" s="542" t="s">
        <v>128</v>
      </c>
      <c r="B1053" s="543">
        <v>4710</v>
      </c>
      <c r="C1053" s="544" t="s">
        <v>204</v>
      </c>
      <c r="D1053" s="545">
        <v>88633</v>
      </c>
      <c r="E1053" s="536" t="s">
        <v>128</v>
      </c>
      <c r="F1053" s="536" t="s">
        <v>128</v>
      </c>
    </row>
    <row r="1054" spans="1:6" s="537" customFormat="1">
      <c r="A1054" s="546" t="s">
        <v>128</v>
      </c>
      <c r="B1054" s="547">
        <v>4790</v>
      </c>
      <c r="C1054" s="548" t="s">
        <v>680</v>
      </c>
      <c r="D1054" s="549">
        <v>12058175</v>
      </c>
      <c r="E1054" s="536" t="s">
        <v>128</v>
      </c>
      <c r="F1054" s="536" t="s">
        <v>128</v>
      </c>
    </row>
    <row r="1055" spans="1:6" s="537" customFormat="1">
      <c r="A1055" s="532" t="s">
        <v>128</v>
      </c>
      <c r="B1055" s="533">
        <v>4800</v>
      </c>
      <c r="C1055" s="534" t="s">
        <v>681</v>
      </c>
      <c r="D1055" s="535">
        <v>812780</v>
      </c>
      <c r="E1055" s="536" t="s">
        <v>128</v>
      </c>
      <c r="F1055" s="536" t="s">
        <v>128</v>
      </c>
    </row>
    <row r="1056" spans="1:6" s="537" customFormat="1">
      <c r="A1056" s="532" t="s">
        <v>128</v>
      </c>
      <c r="B1056" s="533">
        <v>6050</v>
      </c>
      <c r="C1056" s="534" t="s">
        <v>203</v>
      </c>
      <c r="D1056" s="535">
        <v>4500000</v>
      </c>
      <c r="E1056" s="536" t="s">
        <v>128</v>
      </c>
      <c r="F1056" s="536" t="s">
        <v>128</v>
      </c>
    </row>
    <row r="1057" spans="1:6" s="537" customFormat="1">
      <c r="A1057" s="532" t="s">
        <v>128</v>
      </c>
      <c r="B1057" s="533">
        <v>6060</v>
      </c>
      <c r="C1057" s="534" t="s">
        <v>263</v>
      </c>
      <c r="D1057" s="535">
        <v>18500</v>
      </c>
      <c r="E1057" s="536" t="s">
        <v>128</v>
      </c>
      <c r="F1057" s="536" t="s">
        <v>128</v>
      </c>
    </row>
    <row r="1058" spans="1:6" s="527" customFormat="1">
      <c r="A1058" s="528">
        <v>85404</v>
      </c>
      <c r="B1058" s="529" t="s">
        <v>128</v>
      </c>
      <c r="C1058" s="530" t="s">
        <v>89</v>
      </c>
      <c r="D1058" s="531">
        <f>SUM(D1059:D1075)</f>
        <v>1962333</v>
      </c>
      <c r="E1058" s="526" t="s">
        <v>128</v>
      </c>
      <c r="F1058" s="526" t="s">
        <v>128</v>
      </c>
    </row>
    <row r="1059" spans="1:6" s="537" customFormat="1">
      <c r="A1059" s="532" t="s">
        <v>128</v>
      </c>
      <c r="B1059" s="533">
        <v>3020</v>
      </c>
      <c r="C1059" s="534" t="s">
        <v>664</v>
      </c>
      <c r="D1059" s="535">
        <v>500</v>
      </c>
      <c r="E1059" s="536" t="s">
        <v>128</v>
      </c>
      <c r="F1059" s="536" t="s">
        <v>128</v>
      </c>
    </row>
    <row r="1060" spans="1:6" s="537" customFormat="1">
      <c r="A1060" s="532" t="s">
        <v>128</v>
      </c>
      <c r="B1060" s="533">
        <v>4110</v>
      </c>
      <c r="C1060" s="534" t="s">
        <v>190</v>
      </c>
      <c r="D1060" s="535">
        <v>258862</v>
      </c>
      <c r="E1060" s="536" t="s">
        <v>128</v>
      </c>
      <c r="F1060" s="536" t="s">
        <v>128</v>
      </c>
    </row>
    <row r="1061" spans="1:6" s="537" customFormat="1">
      <c r="A1061" s="532" t="s">
        <v>128</v>
      </c>
      <c r="B1061" s="533">
        <v>4120</v>
      </c>
      <c r="C1061" s="534" t="s">
        <v>191</v>
      </c>
      <c r="D1061" s="535">
        <v>36471</v>
      </c>
      <c r="E1061" s="536" t="s">
        <v>128</v>
      </c>
      <c r="F1061" s="536" t="s">
        <v>128</v>
      </c>
    </row>
    <row r="1062" spans="1:6" s="537" customFormat="1">
      <c r="A1062" s="532" t="s">
        <v>128</v>
      </c>
      <c r="B1062" s="533">
        <v>4210</v>
      </c>
      <c r="C1062" s="534" t="s">
        <v>194</v>
      </c>
      <c r="D1062" s="535">
        <v>11800</v>
      </c>
      <c r="E1062" s="536" t="s">
        <v>128</v>
      </c>
      <c r="F1062" s="536" t="s">
        <v>128</v>
      </c>
    </row>
    <row r="1063" spans="1:6" s="537" customFormat="1">
      <c r="A1063" s="532" t="s">
        <v>128</v>
      </c>
      <c r="B1063" s="533">
        <v>4240</v>
      </c>
      <c r="C1063" s="534" t="s">
        <v>679</v>
      </c>
      <c r="D1063" s="535">
        <v>17200</v>
      </c>
      <c r="E1063" s="536" t="s">
        <v>128</v>
      </c>
      <c r="F1063" s="536" t="s">
        <v>128</v>
      </c>
    </row>
    <row r="1064" spans="1:6" s="537" customFormat="1">
      <c r="A1064" s="532" t="s">
        <v>128</v>
      </c>
      <c r="B1064" s="533">
        <v>4260</v>
      </c>
      <c r="C1064" s="534" t="s">
        <v>640</v>
      </c>
      <c r="D1064" s="535">
        <v>55300</v>
      </c>
      <c r="E1064" s="536" t="s">
        <v>128</v>
      </c>
      <c r="F1064" s="536" t="s">
        <v>128</v>
      </c>
    </row>
    <row r="1065" spans="1:6" s="537" customFormat="1">
      <c r="A1065" s="532" t="s">
        <v>128</v>
      </c>
      <c r="B1065" s="533">
        <v>4270</v>
      </c>
      <c r="C1065" s="534" t="s">
        <v>196</v>
      </c>
      <c r="D1065" s="535">
        <v>2650</v>
      </c>
      <c r="E1065" s="536" t="s">
        <v>128</v>
      </c>
      <c r="F1065" s="536" t="s">
        <v>128</v>
      </c>
    </row>
    <row r="1066" spans="1:6" s="537" customFormat="1">
      <c r="A1066" s="532" t="s">
        <v>128</v>
      </c>
      <c r="B1066" s="533">
        <v>4280</v>
      </c>
      <c r="C1066" s="534" t="s">
        <v>666</v>
      </c>
      <c r="D1066" s="535">
        <v>1250</v>
      </c>
      <c r="E1066" s="536" t="s">
        <v>128</v>
      </c>
      <c r="F1066" s="536" t="s">
        <v>128</v>
      </c>
    </row>
    <row r="1067" spans="1:6" s="537" customFormat="1">
      <c r="A1067" s="532" t="s">
        <v>128</v>
      </c>
      <c r="B1067" s="533">
        <v>4300</v>
      </c>
      <c r="C1067" s="534" t="s">
        <v>197</v>
      </c>
      <c r="D1067" s="535">
        <v>20600</v>
      </c>
      <c r="E1067" s="536" t="s">
        <v>128</v>
      </c>
      <c r="F1067" s="536" t="s">
        <v>128</v>
      </c>
    </row>
    <row r="1068" spans="1:6" s="537" customFormat="1">
      <c r="A1068" s="532" t="s">
        <v>128</v>
      </c>
      <c r="B1068" s="533">
        <v>4360</v>
      </c>
      <c r="C1068" s="534" t="s">
        <v>641</v>
      </c>
      <c r="D1068" s="535">
        <v>210</v>
      </c>
      <c r="E1068" s="536" t="s">
        <v>128</v>
      </c>
      <c r="F1068" s="536" t="s">
        <v>128</v>
      </c>
    </row>
    <row r="1069" spans="1:6" s="537" customFormat="1">
      <c r="A1069" s="532" t="s">
        <v>128</v>
      </c>
      <c r="B1069" s="533">
        <v>4410</v>
      </c>
      <c r="C1069" s="534" t="s">
        <v>198</v>
      </c>
      <c r="D1069" s="535">
        <v>600</v>
      </c>
      <c r="E1069" s="536" t="s">
        <v>128</v>
      </c>
      <c r="F1069" s="536" t="s">
        <v>128</v>
      </c>
    </row>
    <row r="1070" spans="1:6" s="537" customFormat="1">
      <c r="A1070" s="532" t="s">
        <v>128</v>
      </c>
      <c r="B1070" s="533">
        <v>4430</v>
      </c>
      <c r="C1070" s="534" t="s">
        <v>645</v>
      </c>
      <c r="D1070" s="535">
        <v>880</v>
      </c>
      <c r="E1070" s="536" t="s">
        <v>128</v>
      </c>
      <c r="F1070" s="536" t="s">
        <v>128</v>
      </c>
    </row>
    <row r="1071" spans="1:6" s="537" customFormat="1">
      <c r="A1071" s="532" t="s">
        <v>128</v>
      </c>
      <c r="B1071" s="533">
        <v>4440</v>
      </c>
      <c r="C1071" s="534" t="s">
        <v>667</v>
      </c>
      <c r="D1071" s="535">
        <v>38720</v>
      </c>
      <c r="E1071" s="536" t="s">
        <v>128</v>
      </c>
      <c r="F1071" s="536" t="s">
        <v>128</v>
      </c>
    </row>
    <row r="1072" spans="1:6" s="537" customFormat="1">
      <c r="A1072" s="532" t="s">
        <v>128</v>
      </c>
      <c r="B1072" s="533">
        <v>4700</v>
      </c>
      <c r="C1072" s="534" t="s">
        <v>646</v>
      </c>
      <c r="D1072" s="535">
        <v>750</v>
      </c>
      <c r="E1072" s="536" t="s">
        <v>128</v>
      </c>
      <c r="F1072" s="536" t="s">
        <v>128</v>
      </c>
    </row>
    <row r="1073" spans="1:6" s="537" customFormat="1">
      <c r="A1073" s="532" t="s">
        <v>128</v>
      </c>
      <c r="B1073" s="533">
        <v>4710</v>
      </c>
      <c r="C1073" s="534" t="s">
        <v>204</v>
      </c>
      <c r="D1073" s="535">
        <v>10907</v>
      </c>
      <c r="E1073" s="536" t="s">
        <v>128</v>
      </c>
      <c r="F1073" s="536" t="s">
        <v>128</v>
      </c>
    </row>
    <row r="1074" spans="1:6" s="537" customFormat="1">
      <c r="A1074" s="532" t="s">
        <v>128</v>
      </c>
      <c r="B1074" s="533">
        <v>4790</v>
      </c>
      <c r="C1074" s="534" t="s">
        <v>680</v>
      </c>
      <c r="D1074" s="535">
        <v>1412185</v>
      </c>
      <c r="E1074" s="536" t="s">
        <v>128</v>
      </c>
      <c r="F1074" s="536" t="s">
        <v>128</v>
      </c>
    </row>
    <row r="1075" spans="1:6" s="537" customFormat="1">
      <c r="A1075" s="532" t="s">
        <v>128</v>
      </c>
      <c r="B1075" s="533">
        <v>4800</v>
      </c>
      <c r="C1075" s="534" t="s">
        <v>681</v>
      </c>
      <c r="D1075" s="535">
        <v>93448</v>
      </c>
      <c r="E1075" s="536" t="s">
        <v>128</v>
      </c>
      <c r="F1075" s="536" t="s">
        <v>128</v>
      </c>
    </row>
    <row r="1076" spans="1:6" s="527" customFormat="1">
      <c r="A1076" s="528">
        <v>85407</v>
      </c>
      <c r="B1076" s="529" t="s">
        <v>128</v>
      </c>
      <c r="C1076" s="530" t="s">
        <v>90</v>
      </c>
      <c r="D1076" s="531">
        <f>SUM(D1077:D1091)</f>
        <v>5621652</v>
      </c>
      <c r="E1076" s="526" t="s">
        <v>128</v>
      </c>
      <c r="F1076" s="526" t="s">
        <v>128</v>
      </c>
    </row>
    <row r="1077" spans="1:6" s="537" customFormat="1">
      <c r="A1077" s="532" t="s">
        <v>128</v>
      </c>
      <c r="B1077" s="533">
        <v>3020</v>
      </c>
      <c r="C1077" s="534" t="s">
        <v>664</v>
      </c>
      <c r="D1077" s="535">
        <v>13015</v>
      </c>
      <c r="E1077" s="536" t="s">
        <v>128</v>
      </c>
      <c r="F1077" s="536" t="s">
        <v>128</v>
      </c>
    </row>
    <row r="1078" spans="1:6" s="537" customFormat="1">
      <c r="A1078" s="532" t="s">
        <v>128</v>
      </c>
      <c r="B1078" s="533">
        <v>4110</v>
      </c>
      <c r="C1078" s="534" t="s">
        <v>190</v>
      </c>
      <c r="D1078" s="535">
        <v>755792</v>
      </c>
      <c r="E1078" s="536" t="s">
        <v>128</v>
      </c>
      <c r="F1078" s="536" t="s">
        <v>128</v>
      </c>
    </row>
    <row r="1079" spans="1:6" s="537" customFormat="1">
      <c r="A1079" s="532" t="s">
        <v>128</v>
      </c>
      <c r="B1079" s="533">
        <v>4120</v>
      </c>
      <c r="C1079" s="534" t="s">
        <v>191</v>
      </c>
      <c r="D1079" s="535">
        <v>63414</v>
      </c>
      <c r="E1079" s="536" t="s">
        <v>128</v>
      </c>
      <c r="F1079" s="536" t="s">
        <v>128</v>
      </c>
    </row>
    <row r="1080" spans="1:6" s="537" customFormat="1">
      <c r="A1080" s="532" t="s">
        <v>128</v>
      </c>
      <c r="B1080" s="533">
        <v>4210</v>
      </c>
      <c r="C1080" s="534" t="s">
        <v>194</v>
      </c>
      <c r="D1080" s="535">
        <v>10978</v>
      </c>
      <c r="E1080" s="536" t="s">
        <v>128</v>
      </c>
      <c r="F1080" s="536" t="s">
        <v>128</v>
      </c>
    </row>
    <row r="1081" spans="1:6" s="537" customFormat="1">
      <c r="A1081" s="532" t="s">
        <v>128</v>
      </c>
      <c r="B1081" s="533">
        <v>4240</v>
      </c>
      <c r="C1081" s="534" t="s">
        <v>679</v>
      </c>
      <c r="D1081" s="535">
        <v>13586</v>
      </c>
      <c r="E1081" s="536" t="s">
        <v>128</v>
      </c>
      <c r="F1081" s="536" t="s">
        <v>128</v>
      </c>
    </row>
    <row r="1082" spans="1:6" s="537" customFormat="1">
      <c r="A1082" s="532" t="s">
        <v>128</v>
      </c>
      <c r="B1082" s="533">
        <v>4270</v>
      </c>
      <c r="C1082" s="534" t="s">
        <v>196</v>
      </c>
      <c r="D1082" s="535">
        <v>3006</v>
      </c>
      <c r="E1082" s="536" t="s">
        <v>128</v>
      </c>
      <c r="F1082" s="536" t="s">
        <v>128</v>
      </c>
    </row>
    <row r="1083" spans="1:6" s="537" customFormat="1">
      <c r="A1083" s="532" t="s">
        <v>128</v>
      </c>
      <c r="B1083" s="533">
        <v>4280</v>
      </c>
      <c r="C1083" s="534" t="s">
        <v>666</v>
      </c>
      <c r="D1083" s="535">
        <v>1560</v>
      </c>
      <c r="E1083" s="536" t="s">
        <v>128</v>
      </c>
      <c r="F1083" s="536" t="s">
        <v>128</v>
      </c>
    </row>
    <row r="1084" spans="1:6" s="537" customFormat="1">
      <c r="A1084" s="532" t="s">
        <v>128</v>
      </c>
      <c r="B1084" s="533">
        <v>4300</v>
      </c>
      <c r="C1084" s="534" t="s">
        <v>197</v>
      </c>
      <c r="D1084" s="535">
        <v>829</v>
      </c>
      <c r="E1084" s="536" t="s">
        <v>128</v>
      </c>
      <c r="F1084" s="536" t="s">
        <v>128</v>
      </c>
    </row>
    <row r="1085" spans="1:6" s="537" customFormat="1">
      <c r="A1085" s="532" t="s">
        <v>128</v>
      </c>
      <c r="B1085" s="533">
        <v>4360</v>
      </c>
      <c r="C1085" s="534" t="s">
        <v>641</v>
      </c>
      <c r="D1085" s="535">
        <v>764</v>
      </c>
      <c r="E1085" s="536" t="s">
        <v>128</v>
      </c>
      <c r="F1085" s="536" t="s">
        <v>128</v>
      </c>
    </row>
    <row r="1086" spans="1:6" s="537" customFormat="1">
      <c r="A1086" s="532" t="s">
        <v>128</v>
      </c>
      <c r="B1086" s="533">
        <v>4410</v>
      </c>
      <c r="C1086" s="534" t="s">
        <v>198</v>
      </c>
      <c r="D1086" s="535">
        <v>1888</v>
      </c>
      <c r="E1086" s="536" t="s">
        <v>128</v>
      </c>
      <c r="F1086" s="536" t="s">
        <v>128</v>
      </c>
    </row>
    <row r="1087" spans="1:6" s="537" customFormat="1">
      <c r="A1087" s="532" t="s">
        <v>128</v>
      </c>
      <c r="B1087" s="533">
        <v>4440</v>
      </c>
      <c r="C1087" s="534" t="s">
        <v>667</v>
      </c>
      <c r="D1087" s="535">
        <v>149709</v>
      </c>
      <c r="E1087" s="536" t="s">
        <v>128</v>
      </c>
      <c r="F1087" s="536" t="s">
        <v>128</v>
      </c>
    </row>
    <row r="1088" spans="1:6" s="537" customFormat="1">
      <c r="A1088" s="532" t="s">
        <v>128</v>
      </c>
      <c r="B1088" s="533">
        <v>4700</v>
      </c>
      <c r="C1088" s="534" t="s">
        <v>646</v>
      </c>
      <c r="D1088" s="535">
        <v>2000</v>
      </c>
      <c r="E1088" s="536" t="s">
        <v>128</v>
      </c>
      <c r="F1088" s="536" t="s">
        <v>128</v>
      </c>
    </row>
    <row r="1089" spans="1:6" s="537" customFormat="1">
      <c r="A1089" s="532" t="s">
        <v>128</v>
      </c>
      <c r="B1089" s="533">
        <v>4710</v>
      </c>
      <c r="C1089" s="534" t="s">
        <v>204</v>
      </c>
      <c r="D1089" s="535">
        <v>19816</v>
      </c>
      <c r="E1089" s="536" t="s">
        <v>128</v>
      </c>
      <c r="F1089" s="536" t="s">
        <v>128</v>
      </c>
    </row>
    <row r="1090" spans="1:6" s="537" customFormat="1">
      <c r="A1090" s="532" t="s">
        <v>128</v>
      </c>
      <c r="B1090" s="533">
        <v>4790</v>
      </c>
      <c r="C1090" s="534" t="s">
        <v>680</v>
      </c>
      <c r="D1090" s="535">
        <v>4307267</v>
      </c>
      <c r="E1090" s="536" t="s">
        <v>128</v>
      </c>
      <c r="F1090" s="536" t="s">
        <v>128</v>
      </c>
    </row>
    <row r="1091" spans="1:6" s="537" customFormat="1">
      <c r="A1091" s="532" t="s">
        <v>128</v>
      </c>
      <c r="B1091" s="533">
        <v>4800</v>
      </c>
      <c r="C1091" s="534" t="s">
        <v>681</v>
      </c>
      <c r="D1091" s="535">
        <v>278028</v>
      </c>
      <c r="E1091" s="536" t="s">
        <v>128</v>
      </c>
      <c r="F1091" s="536" t="s">
        <v>128</v>
      </c>
    </row>
    <row r="1092" spans="1:6" s="527" customFormat="1" ht="15.75" customHeight="1">
      <c r="A1092" s="528">
        <v>85410</v>
      </c>
      <c r="B1092" s="529" t="s">
        <v>128</v>
      </c>
      <c r="C1092" s="530" t="s">
        <v>395</v>
      </c>
      <c r="D1092" s="531">
        <f>SUM(D1093:D1110)</f>
        <v>3569513</v>
      </c>
      <c r="E1092" s="526" t="s">
        <v>128</v>
      </c>
      <c r="F1092" s="526" t="s">
        <v>128</v>
      </c>
    </row>
    <row r="1093" spans="1:6" s="537" customFormat="1">
      <c r="A1093" s="532" t="s">
        <v>128</v>
      </c>
      <c r="B1093" s="533">
        <v>3020</v>
      </c>
      <c r="C1093" s="534" t="s">
        <v>664</v>
      </c>
      <c r="D1093" s="535">
        <v>2500</v>
      </c>
      <c r="E1093" s="536" t="s">
        <v>128</v>
      </c>
      <c r="F1093" s="536" t="s">
        <v>128</v>
      </c>
    </row>
    <row r="1094" spans="1:6" s="537" customFormat="1">
      <c r="A1094" s="532" t="s">
        <v>128</v>
      </c>
      <c r="B1094" s="533">
        <v>4010</v>
      </c>
      <c r="C1094" s="534" t="s">
        <v>188</v>
      </c>
      <c r="D1094" s="535">
        <v>702249</v>
      </c>
      <c r="E1094" s="536" t="s">
        <v>128</v>
      </c>
      <c r="F1094" s="536" t="s">
        <v>128</v>
      </c>
    </row>
    <row r="1095" spans="1:6" s="537" customFormat="1">
      <c r="A1095" s="532" t="s">
        <v>128</v>
      </c>
      <c r="B1095" s="533">
        <v>4040</v>
      </c>
      <c r="C1095" s="534" t="s">
        <v>189</v>
      </c>
      <c r="D1095" s="535">
        <v>56354</v>
      </c>
      <c r="E1095" s="536" t="s">
        <v>128</v>
      </c>
      <c r="F1095" s="536" t="s">
        <v>128</v>
      </c>
    </row>
    <row r="1096" spans="1:6" s="537" customFormat="1">
      <c r="A1096" s="532" t="s">
        <v>128</v>
      </c>
      <c r="B1096" s="533">
        <v>4110</v>
      </c>
      <c r="C1096" s="534" t="s">
        <v>190</v>
      </c>
      <c r="D1096" s="535">
        <v>282199</v>
      </c>
      <c r="E1096" s="536" t="s">
        <v>128</v>
      </c>
      <c r="F1096" s="536" t="s">
        <v>128</v>
      </c>
    </row>
    <row r="1097" spans="1:6" s="537" customFormat="1">
      <c r="A1097" s="532" t="s">
        <v>128</v>
      </c>
      <c r="B1097" s="533">
        <v>4120</v>
      </c>
      <c r="C1097" s="534" t="s">
        <v>191</v>
      </c>
      <c r="D1097" s="535">
        <v>32481</v>
      </c>
      <c r="E1097" s="536" t="s">
        <v>128</v>
      </c>
      <c r="F1097" s="536" t="s">
        <v>128</v>
      </c>
    </row>
    <row r="1098" spans="1:6" s="537" customFormat="1">
      <c r="A1098" s="532" t="s">
        <v>128</v>
      </c>
      <c r="B1098" s="533">
        <v>4210</v>
      </c>
      <c r="C1098" s="534" t="s">
        <v>194</v>
      </c>
      <c r="D1098" s="535">
        <v>45000</v>
      </c>
      <c r="E1098" s="536" t="s">
        <v>128</v>
      </c>
      <c r="F1098" s="536" t="s">
        <v>128</v>
      </c>
    </row>
    <row r="1099" spans="1:6" s="537" customFormat="1">
      <c r="A1099" s="532" t="s">
        <v>128</v>
      </c>
      <c r="B1099" s="533">
        <v>4260</v>
      </c>
      <c r="C1099" s="534" t="s">
        <v>640</v>
      </c>
      <c r="D1099" s="535">
        <v>147500</v>
      </c>
      <c r="E1099" s="536" t="s">
        <v>128</v>
      </c>
      <c r="F1099" s="536" t="s">
        <v>128</v>
      </c>
    </row>
    <row r="1100" spans="1:6" s="537" customFormat="1">
      <c r="A1100" s="532" t="s">
        <v>128</v>
      </c>
      <c r="B1100" s="533">
        <v>4270</v>
      </c>
      <c r="C1100" s="534" t="s">
        <v>196</v>
      </c>
      <c r="D1100" s="535">
        <v>1600</v>
      </c>
      <c r="E1100" s="536" t="s">
        <v>128</v>
      </c>
      <c r="F1100" s="536" t="s">
        <v>128</v>
      </c>
    </row>
    <row r="1101" spans="1:6" s="537" customFormat="1">
      <c r="A1101" s="532" t="s">
        <v>128</v>
      </c>
      <c r="B1101" s="533">
        <v>4280</v>
      </c>
      <c r="C1101" s="534" t="s">
        <v>666</v>
      </c>
      <c r="D1101" s="535">
        <v>400</v>
      </c>
      <c r="E1101" s="536" t="s">
        <v>128</v>
      </c>
      <c r="F1101" s="536" t="s">
        <v>128</v>
      </c>
    </row>
    <row r="1102" spans="1:6" s="537" customFormat="1">
      <c r="A1102" s="532" t="s">
        <v>128</v>
      </c>
      <c r="B1102" s="533">
        <v>4300</v>
      </c>
      <c r="C1102" s="534" t="s">
        <v>197</v>
      </c>
      <c r="D1102" s="535">
        <v>35000</v>
      </c>
      <c r="E1102" s="536" t="s">
        <v>128</v>
      </c>
      <c r="F1102" s="536" t="s">
        <v>128</v>
      </c>
    </row>
    <row r="1103" spans="1:6" s="537" customFormat="1">
      <c r="A1103" s="532" t="s">
        <v>128</v>
      </c>
      <c r="B1103" s="533">
        <v>4360</v>
      </c>
      <c r="C1103" s="534" t="s">
        <v>641</v>
      </c>
      <c r="D1103" s="535">
        <v>1500</v>
      </c>
      <c r="E1103" s="536" t="s">
        <v>128</v>
      </c>
      <c r="F1103" s="536" t="s">
        <v>128</v>
      </c>
    </row>
    <row r="1104" spans="1:6" s="537" customFormat="1">
      <c r="A1104" s="532" t="s">
        <v>128</v>
      </c>
      <c r="B1104" s="533">
        <v>4440</v>
      </c>
      <c r="C1104" s="534" t="s">
        <v>667</v>
      </c>
      <c r="D1104" s="535">
        <v>60331</v>
      </c>
      <c r="E1104" s="536" t="s">
        <v>128</v>
      </c>
      <c r="F1104" s="536" t="s">
        <v>128</v>
      </c>
    </row>
    <row r="1105" spans="1:6" s="537" customFormat="1">
      <c r="A1105" s="532" t="s">
        <v>128</v>
      </c>
      <c r="B1105" s="533">
        <v>4520</v>
      </c>
      <c r="C1105" s="534" t="s">
        <v>656</v>
      </c>
      <c r="D1105" s="535">
        <v>15844</v>
      </c>
      <c r="E1105" s="536" t="s">
        <v>128</v>
      </c>
      <c r="F1105" s="536" t="s">
        <v>128</v>
      </c>
    </row>
    <row r="1106" spans="1:6" s="537" customFormat="1">
      <c r="A1106" s="532" t="s">
        <v>128</v>
      </c>
      <c r="B1106" s="533">
        <v>4700</v>
      </c>
      <c r="C1106" s="534" t="s">
        <v>646</v>
      </c>
      <c r="D1106" s="535">
        <v>500</v>
      </c>
      <c r="E1106" s="536" t="s">
        <v>128</v>
      </c>
      <c r="F1106" s="536" t="s">
        <v>128</v>
      </c>
    </row>
    <row r="1107" spans="1:6" s="537" customFormat="1" ht="12.75" customHeight="1">
      <c r="A1107" s="532" t="s">
        <v>128</v>
      </c>
      <c r="B1107" s="533">
        <v>4710</v>
      </c>
      <c r="C1107" s="534" t="s">
        <v>204</v>
      </c>
      <c r="D1107" s="535">
        <v>3011</v>
      </c>
      <c r="E1107" s="536" t="s">
        <v>128</v>
      </c>
      <c r="F1107" s="536" t="s">
        <v>128</v>
      </c>
    </row>
    <row r="1108" spans="1:6" s="537" customFormat="1">
      <c r="A1108" s="532" t="s">
        <v>128</v>
      </c>
      <c r="B1108" s="533">
        <v>4790</v>
      </c>
      <c r="C1108" s="534" t="s">
        <v>680</v>
      </c>
      <c r="D1108" s="535">
        <v>824699</v>
      </c>
      <c r="E1108" s="536" t="s">
        <v>128</v>
      </c>
      <c r="F1108" s="536" t="s">
        <v>128</v>
      </c>
    </row>
    <row r="1109" spans="1:6" s="537" customFormat="1">
      <c r="A1109" s="532" t="s">
        <v>128</v>
      </c>
      <c r="B1109" s="533">
        <v>4800</v>
      </c>
      <c r="C1109" s="534" t="s">
        <v>681</v>
      </c>
      <c r="D1109" s="535">
        <v>58345</v>
      </c>
      <c r="E1109" s="536" t="s">
        <v>128</v>
      </c>
      <c r="F1109" s="536" t="s">
        <v>128</v>
      </c>
    </row>
    <row r="1110" spans="1:6" s="537" customFormat="1">
      <c r="A1110" s="532" t="s">
        <v>128</v>
      </c>
      <c r="B1110" s="533">
        <v>6050</v>
      </c>
      <c r="C1110" s="534" t="s">
        <v>203</v>
      </c>
      <c r="D1110" s="535">
        <v>1300000</v>
      </c>
      <c r="E1110" s="536" t="s">
        <v>128</v>
      </c>
      <c r="F1110" s="536" t="s">
        <v>128</v>
      </c>
    </row>
    <row r="1111" spans="1:6" s="527" customFormat="1" ht="15" customHeight="1">
      <c r="A1111" s="528">
        <v>85415</v>
      </c>
      <c r="B1111" s="529" t="s">
        <v>128</v>
      </c>
      <c r="C1111" s="530" t="s">
        <v>396</v>
      </c>
      <c r="D1111" s="531">
        <f>D1112</f>
        <v>278400</v>
      </c>
      <c r="E1111" s="526" t="s">
        <v>128</v>
      </c>
      <c r="F1111" s="526" t="s">
        <v>128</v>
      </c>
    </row>
    <row r="1112" spans="1:6" s="507" customFormat="1" ht="28.5" customHeight="1">
      <c r="A1112" s="502" t="s">
        <v>128</v>
      </c>
      <c r="B1112" s="503">
        <v>2320</v>
      </c>
      <c r="C1112" s="504" t="s">
        <v>652</v>
      </c>
      <c r="D1112" s="505">
        <v>278400</v>
      </c>
      <c r="E1112" s="506" t="s">
        <v>128</v>
      </c>
      <c r="F1112" s="506" t="s">
        <v>128</v>
      </c>
    </row>
    <row r="1113" spans="1:6" s="527" customFormat="1" ht="15.75" customHeight="1">
      <c r="A1113" s="528">
        <v>85416</v>
      </c>
      <c r="B1113" s="529" t="s">
        <v>128</v>
      </c>
      <c r="C1113" s="530" t="s">
        <v>397</v>
      </c>
      <c r="D1113" s="531">
        <f>SUM(D1114:D1128)</f>
        <v>6804280</v>
      </c>
      <c r="E1113" s="526" t="s">
        <v>128</v>
      </c>
      <c r="F1113" s="526" t="s">
        <v>128</v>
      </c>
    </row>
    <row r="1114" spans="1:6" s="537" customFormat="1">
      <c r="A1114" s="532" t="s">
        <v>128</v>
      </c>
      <c r="B1114" s="533">
        <v>3240</v>
      </c>
      <c r="C1114" s="534" t="s">
        <v>694</v>
      </c>
      <c r="D1114" s="535">
        <v>600000</v>
      </c>
      <c r="E1114" s="536" t="s">
        <v>128</v>
      </c>
      <c r="F1114" s="536" t="s">
        <v>128</v>
      </c>
    </row>
    <row r="1115" spans="1:6" s="537" customFormat="1">
      <c r="A1115" s="532" t="s">
        <v>128</v>
      </c>
      <c r="B1115" s="533">
        <v>3247</v>
      </c>
      <c r="C1115" s="534" t="s">
        <v>694</v>
      </c>
      <c r="D1115" s="535">
        <v>4751500</v>
      </c>
      <c r="E1115" s="536" t="s">
        <v>128</v>
      </c>
      <c r="F1115" s="536" t="s">
        <v>128</v>
      </c>
    </row>
    <row r="1116" spans="1:6" s="537" customFormat="1">
      <c r="A1116" s="532" t="s">
        <v>128</v>
      </c>
      <c r="B1116" s="533">
        <v>3249</v>
      </c>
      <c r="C1116" s="534" t="s">
        <v>694</v>
      </c>
      <c r="D1116" s="535">
        <v>838500</v>
      </c>
      <c r="E1116" s="536" t="s">
        <v>128</v>
      </c>
      <c r="F1116" s="536" t="s">
        <v>128</v>
      </c>
    </row>
    <row r="1117" spans="1:6" s="537" customFormat="1">
      <c r="A1117" s="532" t="s">
        <v>128</v>
      </c>
      <c r="B1117" s="533">
        <v>4017</v>
      </c>
      <c r="C1117" s="534" t="s">
        <v>188</v>
      </c>
      <c r="D1117" s="535">
        <v>368712</v>
      </c>
      <c r="E1117" s="536" t="s">
        <v>128</v>
      </c>
      <c r="F1117" s="536" t="s">
        <v>128</v>
      </c>
    </row>
    <row r="1118" spans="1:6" s="537" customFormat="1">
      <c r="A1118" s="532" t="s">
        <v>128</v>
      </c>
      <c r="B1118" s="533">
        <v>4019</v>
      </c>
      <c r="C1118" s="534" t="s">
        <v>188</v>
      </c>
      <c r="D1118" s="535">
        <v>65068</v>
      </c>
      <c r="E1118" s="536" t="s">
        <v>128</v>
      </c>
      <c r="F1118" s="536" t="s">
        <v>128</v>
      </c>
    </row>
    <row r="1119" spans="1:6" s="537" customFormat="1">
      <c r="A1119" s="532" t="s">
        <v>128</v>
      </c>
      <c r="B1119" s="533">
        <v>4117</v>
      </c>
      <c r="C1119" s="534" t="s">
        <v>190</v>
      </c>
      <c r="D1119" s="535">
        <v>63382</v>
      </c>
      <c r="E1119" s="536" t="s">
        <v>128</v>
      </c>
      <c r="F1119" s="536" t="s">
        <v>128</v>
      </c>
    </row>
    <row r="1120" spans="1:6" s="537" customFormat="1">
      <c r="A1120" s="532" t="s">
        <v>128</v>
      </c>
      <c r="B1120" s="533">
        <v>4119</v>
      </c>
      <c r="C1120" s="534" t="s">
        <v>190</v>
      </c>
      <c r="D1120" s="535">
        <v>11185</v>
      </c>
      <c r="E1120" s="536" t="s">
        <v>128</v>
      </c>
      <c r="F1120" s="536" t="s">
        <v>128</v>
      </c>
    </row>
    <row r="1121" spans="1:6" s="537" customFormat="1">
      <c r="A1121" s="532" t="s">
        <v>128</v>
      </c>
      <c r="B1121" s="533">
        <v>4127</v>
      </c>
      <c r="C1121" s="534" t="s">
        <v>191</v>
      </c>
      <c r="D1121" s="535">
        <v>9033</v>
      </c>
      <c r="E1121" s="536" t="s">
        <v>128</v>
      </c>
      <c r="F1121" s="536" t="s">
        <v>128</v>
      </c>
    </row>
    <row r="1122" spans="1:6" s="537" customFormat="1">
      <c r="A1122" s="532" t="s">
        <v>128</v>
      </c>
      <c r="B1122" s="533">
        <v>4129</v>
      </c>
      <c r="C1122" s="534" t="s">
        <v>191</v>
      </c>
      <c r="D1122" s="535">
        <v>1593</v>
      </c>
      <c r="E1122" s="536" t="s">
        <v>128</v>
      </c>
      <c r="F1122" s="536" t="s">
        <v>128</v>
      </c>
    </row>
    <row r="1123" spans="1:6" s="537" customFormat="1" ht="12.75" customHeight="1">
      <c r="A1123" s="532" t="s">
        <v>128</v>
      </c>
      <c r="B1123" s="533">
        <v>4217</v>
      </c>
      <c r="C1123" s="534" t="s">
        <v>194</v>
      </c>
      <c r="D1123" s="535">
        <v>15980</v>
      </c>
      <c r="E1123" s="536" t="s">
        <v>128</v>
      </c>
      <c r="F1123" s="536" t="s">
        <v>128</v>
      </c>
    </row>
    <row r="1124" spans="1:6" s="537" customFormat="1">
      <c r="A1124" s="532" t="s">
        <v>128</v>
      </c>
      <c r="B1124" s="533">
        <v>4219</v>
      </c>
      <c r="C1124" s="534" t="s">
        <v>194</v>
      </c>
      <c r="D1124" s="535">
        <v>2820</v>
      </c>
      <c r="E1124" s="536" t="s">
        <v>128</v>
      </c>
      <c r="F1124" s="536" t="s">
        <v>128</v>
      </c>
    </row>
    <row r="1125" spans="1:6" s="537" customFormat="1">
      <c r="A1125" s="542" t="s">
        <v>128</v>
      </c>
      <c r="B1125" s="543">
        <v>4307</v>
      </c>
      <c r="C1125" s="544" t="s">
        <v>197</v>
      </c>
      <c r="D1125" s="545">
        <v>59500</v>
      </c>
      <c r="E1125" s="536" t="s">
        <v>128</v>
      </c>
      <c r="F1125" s="536" t="s">
        <v>128</v>
      </c>
    </row>
    <row r="1126" spans="1:6" s="537" customFormat="1">
      <c r="A1126" s="546" t="s">
        <v>128</v>
      </c>
      <c r="B1126" s="547">
        <v>4309</v>
      </c>
      <c r="C1126" s="548" t="s">
        <v>197</v>
      </c>
      <c r="D1126" s="549">
        <v>10500</v>
      </c>
      <c r="E1126" s="536" t="s">
        <v>128</v>
      </c>
      <c r="F1126" s="536" t="s">
        <v>128</v>
      </c>
    </row>
    <row r="1127" spans="1:6" s="537" customFormat="1">
      <c r="A1127" s="532" t="s">
        <v>128</v>
      </c>
      <c r="B1127" s="533">
        <v>4717</v>
      </c>
      <c r="C1127" s="534" t="s">
        <v>204</v>
      </c>
      <c r="D1127" s="535">
        <v>5531</v>
      </c>
      <c r="E1127" s="536" t="s">
        <v>128</v>
      </c>
      <c r="F1127" s="536" t="s">
        <v>128</v>
      </c>
    </row>
    <row r="1128" spans="1:6" s="537" customFormat="1">
      <c r="A1128" s="532" t="s">
        <v>128</v>
      </c>
      <c r="B1128" s="533">
        <v>4719</v>
      </c>
      <c r="C1128" s="534" t="s">
        <v>204</v>
      </c>
      <c r="D1128" s="535">
        <v>976</v>
      </c>
      <c r="E1128" s="536" t="s">
        <v>128</v>
      </c>
      <c r="F1128" s="536" t="s">
        <v>128</v>
      </c>
    </row>
    <row r="1129" spans="1:6" s="527" customFormat="1" ht="17.25" customHeight="1">
      <c r="A1129" s="528">
        <v>85446</v>
      </c>
      <c r="B1129" s="529" t="s">
        <v>128</v>
      </c>
      <c r="C1129" s="530" t="s">
        <v>81</v>
      </c>
      <c r="D1129" s="531">
        <f>D1130</f>
        <v>200000</v>
      </c>
      <c r="E1129" s="526" t="s">
        <v>128</v>
      </c>
      <c r="F1129" s="526" t="s">
        <v>128</v>
      </c>
    </row>
    <row r="1130" spans="1:6" s="537" customFormat="1">
      <c r="A1130" s="532" t="s">
        <v>128</v>
      </c>
      <c r="B1130" s="533">
        <v>4300</v>
      </c>
      <c r="C1130" s="534" t="s">
        <v>197</v>
      </c>
      <c r="D1130" s="535">
        <v>200000</v>
      </c>
      <c r="E1130" s="536" t="s">
        <v>128</v>
      </c>
      <c r="F1130" s="536" t="s">
        <v>128</v>
      </c>
    </row>
    <row r="1131" spans="1:6" s="527" customFormat="1" ht="15.75" customHeight="1">
      <c r="A1131" s="528">
        <v>85495</v>
      </c>
      <c r="B1131" s="529" t="s">
        <v>128</v>
      </c>
      <c r="C1131" s="530" t="s">
        <v>46</v>
      </c>
      <c r="D1131" s="531">
        <f>SUM(D1132:D1136)</f>
        <v>545399</v>
      </c>
      <c r="E1131" s="526" t="s">
        <v>128</v>
      </c>
      <c r="F1131" s="526" t="s">
        <v>128</v>
      </c>
    </row>
    <row r="1132" spans="1:6" s="537" customFormat="1">
      <c r="A1132" s="532" t="s">
        <v>128</v>
      </c>
      <c r="B1132" s="533">
        <v>3020</v>
      </c>
      <c r="C1132" s="534" t="s">
        <v>664</v>
      </c>
      <c r="D1132" s="535">
        <v>40000</v>
      </c>
      <c r="E1132" s="536" t="s">
        <v>128</v>
      </c>
      <c r="F1132" s="536" t="s">
        <v>128</v>
      </c>
    </row>
    <row r="1133" spans="1:6" s="537" customFormat="1">
      <c r="A1133" s="532" t="s">
        <v>128</v>
      </c>
      <c r="B1133" s="533">
        <v>4190</v>
      </c>
      <c r="C1133" s="534" t="s">
        <v>193</v>
      </c>
      <c r="D1133" s="535">
        <v>10000</v>
      </c>
      <c r="E1133" s="536" t="s">
        <v>128</v>
      </c>
      <c r="F1133" s="536" t="s">
        <v>128</v>
      </c>
    </row>
    <row r="1134" spans="1:6" s="537" customFormat="1">
      <c r="A1134" s="532" t="s">
        <v>128</v>
      </c>
      <c r="B1134" s="533">
        <v>4210</v>
      </c>
      <c r="C1134" s="534" t="s">
        <v>194</v>
      </c>
      <c r="D1134" s="535">
        <v>40000</v>
      </c>
      <c r="E1134" s="536" t="s">
        <v>128</v>
      </c>
      <c r="F1134" s="536" t="s">
        <v>128</v>
      </c>
    </row>
    <row r="1135" spans="1:6" s="537" customFormat="1">
      <c r="A1135" s="532" t="s">
        <v>128</v>
      </c>
      <c r="B1135" s="533">
        <v>4300</v>
      </c>
      <c r="C1135" s="534" t="s">
        <v>197</v>
      </c>
      <c r="D1135" s="535">
        <v>200000</v>
      </c>
      <c r="E1135" s="536" t="s">
        <v>128</v>
      </c>
      <c r="F1135" s="536" t="s">
        <v>128</v>
      </c>
    </row>
    <row r="1136" spans="1:6" s="537" customFormat="1">
      <c r="A1136" s="532" t="s">
        <v>128</v>
      </c>
      <c r="B1136" s="533">
        <v>4440</v>
      </c>
      <c r="C1136" s="534" t="s">
        <v>667</v>
      </c>
      <c r="D1136" s="535">
        <v>255399</v>
      </c>
      <c r="E1136" s="536" t="s">
        <v>128</v>
      </c>
      <c r="F1136" s="536" t="s">
        <v>128</v>
      </c>
    </row>
    <row r="1137" spans="1:6" s="537" customFormat="1">
      <c r="A1137" s="522">
        <v>855</v>
      </c>
      <c r="B1137" s="523" t="s">
        <v>128</v>
      </c>
      <c r="C1137" s="524" t="s">
        <v>53</v>
      </c>
      <c r="D1137" s="525">
        <f>+D1138+D1161</f>
        <v>5245000</v>
      </c>
      <c r="E1137" s="536" t="s">
        <v>128</v>
      </c>
      <c r="F1137" s="536" t="s">
        <v>128</v>
      </c>
    </row>
    <row r="1138" spans="1:6" s="537" customFormat="1" ht="17.25" customHeight="1">
      <c r="A1138" s="528">
        <v>85509</v>
      </c>
      <c r="B1138" s="529" t="s">
        <v>128</v>
      </c>
      <c r="C1138" s="530" t="s">
        <v>54</v>
      </c>
      <c r="D1138" s="531">
        <f>SUM(D1139:D1160)</f>
        <v>3735000</v>
      </c>
      <c r="E1138" s="536" t="s">
        <v>128</v>
      </c>
      <c r="F1138" s="536" t="s">
        <v>128</v>
      </c>
    </row>
    <row r="1139" spans="1:6" s="507" customFormat="1" ht="40.5" customHeight="1">
      <c r="A1139" s="502" t="s">
        <v>128</v>
      </c>
      <c r="B1139" s="503">
        <v>2360</v>
      </c>
      <c r="C1139" s="504" t="s">
        <v>648</v>
      </c>
      <c r="D1139" s="505">
        <v>430000</v>
      </c>
      <c r="E1139" s="506" t="s">
        <v>128</v>
      </c>
      <c r="F1139" s="506" t="s">
        <v>128</v>
      </c>
    </row>
    <row r="1140" spans="1:6" s="537" customFormat="1">
      <c r="A1140" s="532" t="s">
        <v>128</v>
      </c>
      <c r="B1140" s="533">
        <v>3020</v>
      </c>
      <c r="C1140" s="534" t="s">
        <v>664</v>
      </c>
      <c r="D1140" s="535">
        <v>1200</v>
      </c>
      <c r="E1140" s="536" t="s">
        <v>128</v>
      </c>
      <c r="F1140" s="536" t="s">
        <v>128</v>
      </c>
    </row>
    <row r="1141" spans="1:6" s="537" customFormat="1">
      <c r="A1141" s="532" t="s">
        <v>128</v>
      </c>
      <c r="B1141" s="533">
        <v>4010</v>
      </c>
      <c r="C1141" s="534" t="s">
        <v>188</v>
      </c>
      <c r="D1141" s="535">
        <v>2060516</v>
      </c>
      <c r="E1141" s="536" t="s">
        <v>128</v>
      </c>
      <c r="F1141" s="536" t="s">
        <v>128</v>
      </c>
    </row>
    <row r="1142" spans="1:6" s="537" customFormat="1">
      <c r="A1142" s="532" t="s">
        <v>128</v>
      </c>
      <c r="B1142" s="533">
        <v>4040</v>
      </c>
      <c r="C1142" s="534" t="s">
        <v>189</v>
      </c>
      <c r="D1142" s="535">
        <v>188785</v>
      </c>
      <c r="E1142" s="536" t="s">
        <v>128</v>
      </c>
      <c r="F1142" s="536" t="s">
        <v>128</v>
      </c>
    </row>
    <row r="1143" spans="1:6" s="537" customFormat="1">
      <c r="A1143" s="532" t="s">
        <v>128</v>
      </c>
      <c r="B1143" s="533">
        <v>4110</v>
      </c>
      <c r="C1143" s="534" t="s">
        <v>190</v>
      </c>
      <c r="D1143" s="535">
        <v>385573</v>
      </c>
      <c r="E1143" s="536" t="s">
        <v>128</v>
      </c>
      <c r="F1143" s="536" t="s">
        <v>128</v>
      </c>
    </row>
    <row r="1144" spans="1:6" s="537" customFormat="1">
      <c r="A1144" s="532" t="s">
        <v>128</v>
      </c>
      <c r="B1144" s="533">
        <v>4120</v>
      </c>
      <c r="C1144" s="534" t="s">
        <v>191</v>
      </c>
      <c r="D1144" s="535">
        <v>39677</v>
      </c>
      <c r="E1144" s="536" t="s">
        <v>128</v>
      </c>
      <c r="F1144" s="536" t="s">
        <v>128</v>
      </c>
    </row>
    <row r="1145" spans="1:6" s="537" customFormat="1">
      <c r="A1145" s="532" t="s">
        <v>128</v>
      </c>
      <c r="B1145" s="533">
        <v>4140</v>
      </c>
      <c r="C1145" s="534" t="s">
        <v>665</v>
      </c>
      <c r="D1145" s="535">
        <v>30000</v>
      </c>
      <c r="E1145" s="536" t="s">
        <v>128</v>
      </c>
      <c r="F1145" s="536" t="s">
        <v>128</v>
      </c>
    </row>
    <row r="1146" spans="1:6" s="537" customFormat="1">
      <c r="A1146" s="532" t="s">
        <v>128</v>
      </c>
      <c r="B1146" s="533">
        <v>4170</v>
      </c>
      <c r="C1146" s="534" t="s">
        <v>192</v>
      </c>
      <c r="D1146" s="535">
        <v>21000</v>
      </c>
      <c r="E1146" s="536" t="s">
        <v>128</v>
      </c>
      <c r="F1146" s="536" t="s">
        <v>128</v>
      </c>
    </row>
    <row r="1147" spans="1:6" s="537" customFormat="1">
      <c r="A1147" s="532" t="s">
        <v>128</v>
      </c>
      <c r="B1147" s="533">
        <v>4210</v>
      </c>
      <c r="C1147" s="534" t="s">
        <v>194</v>
      </c>
      <c r="D1147" s="535">
        <v>136498</v>
      </c>
      <c r="E1147" s="536" t="s">
        <v>128</v>
      </c>
      <c r="F1147" s="536" t="s">
        <v>128</v>
      </c>
    </row>
    <row r="1148" spans="1:6" s="537" customFormat="1">
      <c r="A1148" s="532" t="s">
        <v>128</v>
      </c>
      <c r="B1148" s="533">
        <v>4220</v>
      </c>
      <c r="C1148" s="534" t="s">
        <v>195</v>
      </c>
      <c r="D1148" s="535">
        <v>7000</v>
      </c>
      <c r="E1148" s="536" t="s">
        <v>128</v>
      </c>
      <c r="F1148" s="536" t="s">
        <v>128</v>
      </c>
    </row>
    <row r="1149" spans="1:6" s="537" customFormat="1">
      <c r="A1149" s="532" t="s">
        <v>128</v>
      </c>
      <c r="B1149" s="533">
        <v>4260</v>
      </c>
      <c r="C1149" s="534" t="s">
        <v>640</v>
      </c>
      <c r="D1149" s="535">
        <v>96000</v>
      </c>
      <c r="E1149" s="536" t="s">
        <v>128</v>
      </c>
      <c r="F1149" s="536" t="s">
        <v>128</v>
      </c>
    </row>
    <row r="1150" spans="1:6" s="537" customFormat="1">
      <c r="A1150" s="532" t="s">
        <v>128</v>
      </c>
      <c r="B1150" s="533">
        <v>4270</v>
      </c>
      <c r="C1150" s="534" t="s">
        <v>196</v>
      </c>
      <c r="D1150" s="535">
        <v>40000</v>
      </c>
      <c r="E1150" s="536" t="s">
        <v>128</v>
      </c>
      <c r="F1150" s="536" t="s">
        <v>128</v>
      </c>
    </row>
    <row r="1151" spans="1:6" s="537" customFormat="1">
      <c r="A1151" s="532" t="s">
        <v>128</v>
      </c>
      <c r="B1151" s="533">
        <v>4280</v>
      </c>
      <c r="C1151" s="534" t="s">
        <v>666</v>
      </c>
      <c r="D1151" s="535">
        <v>2000</v>
      </c>
      <c r="E1151" s="536" t="s">
        <v>128</v>
      </c>
      <c r="F1151" s="536" t="s">
        <v>128</v>
      </c>
    </row>
    <row r="1152" spans="1:6" s="537" customFormat="1">
      <c r="A1152" s="532" t="s">
        <v>128</v>
      </c>
      <c r="B1152" s="533">
        <v>4300</v>
      </c>
      <c r="C1152" s="534" t="s">
        <v>197</v>
      </c>
      <c r="D1152" s="535">
        <v>145000</v>
      </c>
      <c r="E1152" s="536" t="s">
        <v>128</v>
      </c>
      <c r="F1152" s="536" t="s">
        <v>128</v>
      </c>
    </row>
    <row r="1153" spans="1:6" s="537" customFormat="1">
      <c r="A1153" s="532" t="s">
        <v>128</v>
      </c>
      <c r="B1153" s="533">
        <v>4360</v>
      </c>
      <c r="C1153" s="534" t="s">
        <v>641</v>
      </c>
      <c r="D1153" s="535">
        <v>15000</v>
      </c>
      <c r="E1153" s="536" t="s">
        <v>128</v>
      </c>
      <c r="F1153" s="536" t="s">
        <v>128</v>
      </c>
    </row>
    <row r="1154" spans="1:6" s="537" customFormat="1">
      <c r="A1154" s="532" t="s">
        <v>128</v>
      </c>
      <c r="B1154" s="533">
        <v>4400</v>
      </c>
      <c r="C1154" s="534" t="s">
        <v>643</v>
      </c>
      <c r="D1154" s="535">
        <v>6000</v>
      </c>
      <c r="E1154" s="536" t="s">
        <v>128</v>
      </c>
      <c r="F1154" s="536" t="s">
        <v>128</v>
      </c>
    </row>
    <row r="1155" spans="1:6" s="537" customFormat="1">
      <c r="A1155" s="532" t="s">
        <v>128</v>
      </c>
      <c r="B1155" s="533">
        <v>4410</v>
      </c>
      <c r="C1155" s="534" t="s">
        <v>198</v>
      </c>
      <c r="D1155" s="535">
        <v>35000</v>
      </c>
      <c r="E1155" s="536" t="s">
        <v>128</v>
      </c>
      <c r="F1155" s="536" t="s">
        <v>128</v>
      </c>
    </row>
    <row r="1156" spans="1:6" s="537" customFormat="1">
      <c r="A1156" s="532" t="s">
        <v>128</v>
      </c>
      <c r="B1156" s="533">
        <v>4430</v>
      </c>
      <c r="C1156" s="534" t="s">
        <v>645</v>
      </c>
      <c r="D1156" s="535">
        <v>220</v>
      </c>
      <c r="E1156" s="536" t="s">
        <v>128</v>
      </c>
      <c r="F1156" s="536" t="s">
        <v>128</v>
      </c>
    </row>
    <row r="1157" spans="1:6" s="537" customFormat="1">
      <c r="A1157" s="532" t="s">
        <v>128</v>
      </c>
      <c r="B1157" s="533">
        <v>4440</v>
      </c>
      <c r="C1157" s="534" t="s">
        <v>667</v>
      </c>
      <c r="D1157" s="535">
        <v>63971</v>
      </c>
      <c r="E1157" s="536" t="s">
        <v>128</v>
      </c>
      <c r="F1157" s="536" t="s">
        <v>128</v>
      </c>
    </row>
    <row r="1158" spans="1:6" s="537" customFormat="1">
      <c r="A1158" s="532" t="s">
        <v>128</v>
      </c>
      <c r="B1158" s="533">
        <v>4480</v>
      </c>
      <c r="C1158" s="534" t="s">
        <v>649</v>
      </c>
      <c r="D1158" s="535">
        <v>4000</v>
      </c>
      <c r="E1158" s="536" t="s">
        <v>128</v>
      </c>
      <c r="F1158" s="536" t="s">
        <v>128</v>
      </c>
    </row>
    <row r="1159" spans="1:6" s="537" customFormat="1">
      <c r="A1159" s="532" t="s">
        <v>128</v>
      </c>
      <c r="B1159" s="533">
        <v>4700</v>
      </c>
      <c r="C1159" s="534" t="s">
        <v>646</v>
      </c>
      <c r="D1159" s="535">
        <v>15000</v>
      </c>
      <c r="E1159" s="536" t="s">
        <v>128</v>
      </c>
      <c r="F1159" s="536" t="s">
        <v>128</v>
      </c>
    </row>
    <row r="1160" spans="1:6" s="537" customFormat="1">
      <c r="A1160" s="532" t="s">
        <v>128</v>
      </c>
      <c r="B1160" s="533">
        <v>4710</v>
      </c>
      <c r="C1160" s="534" t="s">
        <v>204</v>
      </c>
      <c r="D1160" s="535">
        <v>12560</v>
      </c>
      <c r="E1160" s="536" t="s">
        <v>128</v>
      </c>
      <c r="F1160" s="536" t="s">
        <v>128</v>
      </c>
    </row>
    <row r="1161" spans="1:6" s="527" customFormat="1" ht="15.75" customHeight="1">
      <c r="A1161" s="528">
        <v>85595</v>
      </c>
      <c r="B1161" s="529" t="s">
        <v>128</v>
      </c>
      <c r="C1161" s="530" t="s">
        <v>46</v>
      </c>
      <c r="D1161" s="531">
        <f>SUM(D1162:D1167)</f>
        <v>1510000</v>
      </c>
      <c r="E1161" s="526" t="s">
        <v>128</v>
      </c>
      <c r="F1161" s="526" t="s">
        <v>128</v>
      </c>
    </row>
    <row r="1162" spans="1:6" s="507" customFormat="1" ht="40.5" customHeight="1">
      <c r="A1162" s="502" t="s">
        <v>128</v>
      </c>
      <c r="B1162" s="503">
        <v>2360</v>
      </c>
      <c r="C1162" s="504" t="s">
        <v>648</v>
      </c>
      <c r="D1162" s="505">
        <v>1300000</v>
      </c>
      <c r="E1162" s="506" t="s">
        <v>128</v>
      </c>
      <c r="F1162" s="506" t="s">
        <v>128</v>
      </c>
    </row>
    <row r="1163" spans="1:6" s="537" customFormat="1">
      <c r="A1163" s="532" t="s">
        <v>128</v>
      </c>
      <c r="B1163" s="533">
        <v>4170</v>
      </c>
      <c r="C1163" s="534" t="s">
        <v>192</v>
      </c>
      <c r="D1163" s="535">
        <v>2000</v>
      </c>
      <c r="E1163" s="536" t="s">
        <v>128</v>
      </c>
      <c r="F1163" s="536" t="s">
        <v>128</v>
      </c>
    </row>
    <row r="1164" spans="1:6" s="537" customFormat="1">
      <c r="A1164" s="532" t="s">
        <v>128</v>
      </c>
      <c r="B1164" s="533">
        <v>4190</v>
      </c>
      <c r="C1164" s="534" t="s">
        <v>193</v>
      </c>
      <c r="D1164" s="535">
        <v>4000</v>
      </c>
      <c r="E1164" s="536" t="s">
        <v>128</v>
      </c>
      <c r="F1164" s="536" t="s">
        <v>128</v>
      </c>
    </row>
    <row r="1165" spans="1:6" s="537" customFormat="1">
      <c r="A1165" s="532" t="s">
        <v>128</v>
      </c>
      <c r="B1165" s="533">
        <v>4210</v>
      </c>
      <c r="C1165" s="534" t="s">
        <v>194</v>
      </c>
      <c r="D1165" s="535">
        <v>2400</v>
      </c>
      <c r="E1165" s="536" t="s">
        <v>128</v>
      </c>
      <c r="F1165" s="536" t="s">
        <v>128</v>
      </c>
    </row>
    <row r="1166" spans="1:6" s="537" customFormat="1">
      <c r="A1166" s="532" t="s">
        <v>128</v>
      </c>
      <c r="B1166" s="533">
        <v>4220</v>
      </c>
      <c r="C1166" s="534" t="s">
        <v>195</v>
      </c>
      <c r="D1166" s="535">
        <v>1100</v>
      </c>
      <c r="E1166" s="536" t="s">
        <v>128</v>
      </c>
      <c r="F1166" s="536" t="s">
        <v>128</v>
      </c>
    </row>
    <row r="1167" spans="1:6" s="537" customFormat="1" ht="12.75" customHeight="1">
      <c r="A1167" s="532" t="s">
        <v>128</v>
      </c>
      <c r="B1167" s="533">
        <v>4300</v>
      </c>
      <c r="C1167" s="534" t="s">
        <v>197</v>
      </c>
      <c r="D1167" s="535">
        <v>200500</v>
      </c>
      <c r="E1167" s="536" t="s">
        <v>128</v>
      </c>
      <c r="F1167" s="536" t="s">
        <v>128</v>
      </c>
    </row>
    <row r="1168" spans="1:6" s="527" customFormat="1">
      <c r="A1168" s="522">
        <v>900</v>
      </c>
      <c r="B1168" s="523" t="s">
        <v>128</v>
      </c>
      <c r="C1168" s="524" t="s">
        <v>39</v>
      </c>
      <c r="D1168" s="525">
        <f>D1169+D1174+D1181+D1183+D1193+D1201+D1203+D1211</f>
        <v>5305615</v>
      </c>
      <c r="E1168" s="526" t="s">
        <v>128</v>
      </c>
      <c r="F1168" s="526" t="s">
        <v>128</v>
      </c>
    </row>
    <row r="1169" spans="1:6" s="527" customFormat="1" ht="16.5" customHeight="1">
      <c r="A1169" s="550">
        <v>90002</v>
      </c>
      <c r="B1169" s="551" t="s">
        <v>128</v>
      </c>
      <c r="C1169" s="552" t="s">
        <v>98</v>
      </c>
      <c r="D1169" s="553">
        <f>SUM(D1170:D1173)</f>
        <v>2000</v>
      </c>
      <c r="E1169" s="526" t="s">
        <v>128</v>
      </c>
      <c r="F1169" s="526" t="s">
        <v>128</v>
      </c>
    </row>
    <row r="1170" spans="1:6" s="537" customFormat="1">
      <c r="A1170" s="532" t="s">
        <v>128</v>
      </c>
      <c r="B1170" s="533">
        <v>4110</v>
      </c>
      <c r="C1170" s="534" t="s">
        <v>190</v>
      </c>
      <c r="D1170" s="535">
        <v>286</v>
      </c>
      <c r="E1170" s="536" t="s">
        <v>128</v>
      </c>
      <c r="F1170" s="536" t="s">
        <v>128</v>
      </c>
    </row>
    <row r="1171" spans="1:6" s="537" customFormat="1">
      <c r="A1171" s="532" t="s">
        <v>128</v>
      </c>
      <c r="B1171" s="533">
        <v>4120</v>
      </c>
      <c r="C1171" s="534" t="s">
        <v>191</v>
      </c>
      <c r="D1171" s="535">
        <v>41</v>
      </c>
      <c r="E1171" s="536" t="s">
        <v>128</v>
      </c>
      <c r="F1171" s="536" t="s">
        <v>128</v>
      </c>
    </row>
    <row r="1172" spans="1:6" s="537" customFormat="1" ht="12.75" customHeight="1">
      <c r="A1172" s="532" t="s">
        <v>128</v>
      </c>
      <c r="B1172" s="533">
        <v>4170</v>
      </c>
      <c r="C1172" s="534" t="s">
        <v>192</v>
      </c>
      <c r="D1172" s="535">
        <v>1660</v>
      </c>
      <c r="E1172" s="536" t="s">
        <v>128</v>
      </c>
      <c r="F1172" s="536" t="s">
        <v>128</v>
      </c>
    </row>
    <row r="1173" spans="1:6" s="537" customFormat="1" ht="12.75" customHeight="1">
      <c r="A1173" s="532" t="s">
        <v>128</v>
      </c>
      <c r="B1173" s="533">
        <v>4710</v>
      </c>
      <c r="C1173" s="534" t="s">
        <v>204</v>
      </c>
      <c r="D1173" s="535">
        <v>13</v>
      </c>
      <c r="E1173" s="536" t="s">
        <v>128</v>
      </c>
      <c r="F1173" s="536" t="s">
        <v>128</v>
      </c>
    </row>
    <row r="1174" spans="1:6" s="537" customFormat="1" ht="15" customHeight="1">
      <c r="A1174" s="528">
        <v>90005</v>
      </c>
      <c r="B1174" s="529" t="s">
        <v>128</v>
      </c>
      <c r="C1174" s="530" t="s">
        <v>44</v>
      </c>
      <c r="D1174" s="531">
        <f>SUM(D1175:D1180)</f>
        <v>339000</v>
      </c>
      <c r="E1174" s="536" t="s">
        <v>128</v>
      </c>
      <c r="F1174" s="536" t="s">
        <v>128</v>
      </c>
    </row>
    <row r="1175" spans="1:6" s="537" customFormat="1">
      <c r="A1175" s="532" t="s">
        <v>128</v>
      </c>
      <c r="B1175" s="533">
        <v>4010</v>
      </c>
      <c r="C1175" s="534" t="s">
        <v>188</v>
      </c>
      <c r="D1175" s="535">
        <v>146749</v>
      </c>
      <c r="E1175" s="536" t="s">
        <v>128</v>
      </c>
      <c r="F1175" s="536" t="s">
        <v>128</v>
      </c>
    </row>
    <row r="1176" spans="1:6" s="537" customFormat="1">
      <c r="A1176" s="532" t="s">
        <v>128</v>
      </c>
      <c r="B1176" s="533">
        <v>4040</v>
      </c>
      <c r="C1176" s="534" t="s">
        <v>189</v>
      </c>
      <c r="D1176" s="535">
        <v>20000</v>
      </c>
      <c r="E1176" s="536" t="s">
        <v>128</v>
      </c>
      <c r="F1176" s="536" t="s">
        <v>128</v>
      </c>
    </row>
    <row r="1177" spans="1:6" s="537" customFormat="1">
      <c r="A1177" s="532" t="s">
        <v>128</v>
      </c>
      <c r="B1177" s="533">
        <v>4110</v>
      </c>
      <c r="C1177" s="534" t="s">
        <v>190</v>
      </c>
      <c r="D1177" s="535">
        <v>28665</v>
      </c>
      <c r="E1177" s="536" t="s">
        <v>128</v>
      </c>
      <c r="F1177" s="536" t="s">
        <v>128</v>
      </c>
    </row>
    <row r="1178" spans="1:6" s="537" customFormat="1">
      <c r="A1178" s="532" t="s">
        <v>128</v>
      </c>
      <c r="B1178" s="533">
        <v>4120</v>
      </c>
      <c r="C1178" s="534" t="s">
        <v>191</v>
      </c>
      <c r="D1178" s="535">
        <v>4086</v>
      </c>
      <c r="E1178" s="536" t="s">
        <v>128</v>
      </c>
      <c r="F1178" s="536" t="s">
        <v>128</v>
      </c>
    </row>
    <row r="1179" spans="1:6" s="537" customFormat="1">
      <c r="A1179" s="532" t="s">
        <v>128</v>
      </c>
      <c r="B1179" s="533">
        <v>4300</v>
      </c>
      <c r="C1179" s="534" t="s">
        <v>197</v>
      </c>
      <c r="D1179" s="535">
        <v>137000</v>
      </c>
      <c r="E1179" s="536" t="s">
        <v>128</v>
      </c>
      <c r="F1179" s="536" t="s">
        <v>128</v>
      </c>
    </row>
    <row r="1180" spans="1:6" s="537" customFormat="1">
      <c r="A1180" s="532" t="s">
        <v>128</v>
      </c>
      <c r="B1180" s="533">
        <v>4710</v>
      </c>
      <c r="C1180" s="534" t="s">
        <v>204</v>
      </c>
      <c r="D1180" s="535">
        <v>2500</v>
      </c>
      <c r="E1180" s="536" t="s">
        <v>128</v>
      </c>
      <c r="F1180" s="536" t="s">
        <v>128</v>
      </c>
    </row>
    <row r="1181" spans="1:6" s="527" customFormat="1" ht="15" customHeight="1">
      <c r="A1181" s="528">
        <v>90007</v>
      </c>
      <c r="B1181" s="529" t="s">
        <v>128</v>
      </c>
      <c r="C1181" s="530" t="s">
        <v>45</v>
      </c>
      <c r="D1181" s="531">
        <f>D1182</f>
        <v>261950</v>
      </c>
      <c r="E1181" s="526" t="s">
        <v>128</v>
      </c>
      <c r="F1181" s="526" t="s">
        <v>128</v>
      </c>
    </row>
    <row r="1182" spans="1:6" s="537" customFormat="1">
      <c r="A1182" s="532" t="s">
        <v>128</v>
      </c>
      <c r="B1182" s="533">
        <v>4300</v>
      </c>
      <c r="C1182" s="534" t="s">
        <v>197</v>
      </c>
      <c r="D1182" s="535">
        <v>261950</v>
      </c>
      <c r="E1182" s="536" t="s">
        <v>128</v>
      </c>
      <c r="F1182" s="536" t="s">
        <v>128</v>
      </c>
    </row>
    <row r="1183" spans="1:6" s="497" customFormat="1" ht="29.25" customHeight="1">
      <c r="A1183" s="498">
        <v>90019</v>
      </c>
      <c r="B1183" s="499" t="s">
        <v>128</v>
      </c>
      <c r="C1183" s="500" t="s">
        <v>91</v>
      </c>
      <c r="D1183" s="501">
        <f>SUM(D1184:D1192)</f>
        <v>910000</v>
      </c>
      <c r="E1183" s="496" t="s">
        <v>128</v>
      </c>
      <c r="F1183" s="496" t="s">
        <v>128</v>
      </c>
    </row>
    <row r="1184" spans="1:6" s="537" customFormat="1">
      <c r="A1184" s="532" t="s">
        <v>128</v>
      </c>
      <c r="B1184" s="533">
        <v>4010</v>
      </c>
      <c r="C1184" s="534" t="s">
        <v>188</v>
      </c>
      <c r="D1184" s="535">
        <v>628972</v>
      </c>
      <c r="E1184" s="536" t="s">
        <v>128</v>
      </c>
      <c r="F1184" s="536" t="s">
        <v>128</v>
      </c>
    </row>
    <row r="1185" spans="1:6" s="537" customFormat="1">
      <c r="A1185" s="532" t="s">
        <v>128</v>
      </c>
      <c r="B1185" s="533">
        <v>4040</v>
      </c>
      <c r="C1185" s="534" t="s">
        <v>189</v>
      </c>
      <c r="D1185" s="535">
        <v>70000</v>
      </c>
      <c r="E1185" s="536" t="s">
        <v>128</v>
      </c>
      <c r="F1185" s="536" t="s">
        <v>128</v>
      </c>
    </row>
    <row r="1186" spans="1:6" s="537" customFormat="1">
      <c r="A1186" s="532" t="s">
        <v>128</v>
      </c>
      <c r="B1186" s="533">
        <v>4110</v>
      </c>
      <c r="C1186" s="534" t="s">
        <v>190</v>
      </c>
      <c r="D1186" s="535">
        <v>120153</v>
      </c>
      <c r="E1186" s="536" t="s">
        <v>128</v>
      </c>
      <c r="F1186" s="536" t="s">
        <v>128</v>
      </c>
    </row>
    <row r="1187" spans="1:6" s="537" customFormat="1">
      <c r="A1187" s="532" t="s">
        <v>128</v>
      </c>
      <c r="B1187" s="533">
        <v>4120</v>
      </c>
      <c r="C1187" s="534" t="s">
        <v>191</v>
      </c>
      <c r="D1187" s="535">
        <v>17125</v>
      </c>
      <c r="E1187" s="536" t="s">
        <v>128</v>
      </c>
      <c r="F1187" s="536" t="s">
        <v>128</v>
      </c>
    </row>
    <row r="1188" spans="1:6" s="537" customFormat="1">
      <c r="A1188" s="532" t="s">
        <v>128</v>
      </c>
      <c r="B1188" s="533">
        <v>4210</v>
      </c>
      <c r="C1188" s="534" t="s">
        <v>194</v>
      </c>
      <c r="D1188" s="535">
        <v>40000</v>
      </c>
      <c r="E1188" s="536" t="s">
        <v>128</v>
      </c>
      <c r="F1188" s="536" t="s">
        <v>128</v>
      </c>
    </row>
    <row r="1189" spans="1:6" s="537" customFormat="1">
      <c r="A1189" s="532" t="s">
        <v>128</v>
      </c>
      <c r="B1189" s="533">
        <v>4300</v>
      </c>
      <c r="C1189" s="534" t="s">
        <v>197</v>
      </c>
      <c r="D1189" s="535">
        <v>20000</v>
      </c>
      <c r="E1189" s="536" t="s">
        <v>128</v>
      </c>
      <c r="F1189" s="536" t="s">
        <v>128</v>
      </c>
    </row>
    <row r="1190" spans="1:6" s="537" customFormat="1">
      <c r="A1190" s="532" t="s">
        <v>128</v>
      </c>
      <c r="B1190" s="533">
        <v>4410</v>
      </c>
      <c r="C1190" s="534" t="s">
        <v>198</v>
      </c>
      <c r="D1190" s="535">
        <v>400</v>
      </c>
      <c r="E1190" s="536" t="s">
        <v>128</v>
      </c>
      <c r="F1190" s="536" t="s">
        <v>128</v>
      </c>
    </row>
    <row r="1191" spans="1:6" s="537" customFormat="1">
      <c r="A1191" s="532" t="s">
        <v>128</v>
      </c>
      <c r="B1191" s="533">
        <v>4700</v>
      </c>
      <c r="C1191" s="534" t="s">
        <v>646</v>
      </c>
      <c r="D1191" s="535">
        <v>6000</v>
      </c>
      <c r="E1191" s="536" t="s">
        <v>128</v>
      </c>
      <c r="F1191" s="536" t="s">
        <v>128</v>
      </c>
    </row>
    <row r="1192" spans="1:6" s="537" customFormat="1">
      <c r="A1192" s="542" t="s">
        <v>128</v>
      </c>
      <c r="B1192" s="543">
        <v>4710</v>
      </c>
      <c r="C1192" s="544" t="s">
        <v>204</v>
      </c>
      <c r="D1192" s="545">
        <v>7350</v>
      </c>
      <c r="E1192" s="536" t="s">
        <v>128</v>
      </c>
      <c r="F1192" s="536" t="s">
        <v>128</v>
      </c>
    </row>
    <row r="1193" spans="1:6" s="527" customFormat="1" ht="16.5" customHeight="1">
      <c r="A1193" s="550">
        <v>90020</v>
      </c>
      <c r="B1193" s="551" t="s">
        <v>128</v>
      </c>
      <c r="C1193" s="552" t="s">
        <v>92</v>
      </c>
      <c r="D1193" s="553">
        <f>SUM(D1194:D1200)</f>
        <v>47500</v>
      </c>
      <c r="E1193" s="526" t="s">
        <v>128</v>
      </c>
      <c r="F1193" s="526" t="s">
        <v>128</v>
      </c>
    </row>
    <row r="1194" spans="1:6" s="537" customFormat="1">
      <c r="A1194" s="532" t="s">
        <v>128</v>
      </c>
      <c r="B1194" s="533">
        <v>4010</v>
      </c>
      <c r="C1194" s="534" t="s">
        <v>188</v>
      </c>
      <c r="D1194" s="535">
        <v>28522</v>
      </c>
      <c r="E1194" s="536" t="s">
        <v>128</v>
      </c>
      <c r="F1194" s="536" t="s">
        <v>128</v>
      </c>
    </row>
    <row r="1195" spans="1:6" s="537" customFormat="1">
      <c r="A1195" s="532" t="s">
        <v>128</v>
      </c>
      <c r="B1195" s="533">
        <v>4040</v>
      </c>
      <c r="C1195" s="534" t="s">
        <v>189</v>
      </c>
      <c r="D1195" s="535">
        <v>7000</v>
      </c>
      <c r="E1195" s="536" t="s">
        <v>128</v>
      </c>
      <c r="F1195" s="536" t="s">
        <v>128</v>
      </c>
    </row>
    <row r="1196" spans="1:6" s="537" customFormat="1">
      <c r="A1196" s="532" t="s">
        <v>128</v>
      </c>
      <c r="B1196" s="533">
        <v>4110</v>
      </c>
      <c r="C1196" s="534" t="s">
        <v>190</v>
      </c>
      <c r="D1196" s="535">
        <v>6106</v>
      </c>
      <c r="E1196" s="536" t="s">
        <v>128</v>
      </c>
      <c r="F1196" s="536" t="s">
        <v>128</v>
      </c>
    </row>
    <row r="1197" spans="1:6" s="537" customFormat="1">
      <c r="A1197" s="532" t="s">
        <v>128</v>
      </c>
      <c r="B1197" s="533">
        <v>4120</v>
      </c>
      <c r="C1197" s="534" t="s">
        <v>191</v>
      </c>
      <c r="D1197" s="535">
        <v>872</v>
      </c>
      <c r="E1197" s="536" t="s">
        <v>128</v>
      </c>
      <c r="F1197" s="536" t="s">
        <v>128</v>
      </c>
    </row>
    <row r="1198" spans="1:6" s="537" customFormat="1">
      <c r="A1198" s="532" t="s">
        <v>128</v>
      </c>
      <c r="B1198" s="533">
        <v>4610</v>
      </c>
      <c r="C1198" s="534" t="s">
        <v>199</v>
      </c>
      <c r="D1198" s="535">
        <v>300</v>
      </c>
      <c r="E1198" s="536" t="s">
        <v>128</v>
      </c>
      <c r="F1198" s="536" t="s">
        <v>128</v>
      </c>
    </row>
    <row r="1199" spans="1:6" s="537" customFormat="1">
      <c r="A1199" s="532" t="s">
        <v>128</v>
      </c>
      <c r="B1199" s="533">
        <v>4700</v>
      </c>
      <c r="C1199" s="534" t="s">
        <v>646</v>
      </c>
      <c r="D1199" s="535">
        <v>4000</v>
      </c>
      <c r="E1199" s="536" t="s">
        <v>128</v>
      </c>
      <c r="F1199" s="536" t="s">
        <v>128</v>
      </c>
    </row>
    <row r="1200" spans="1:6" s="537" customFormat="1">
      <c r="A1200" s="532" t="s">
        <v>128</v>
      </c>
      <c r="B1200" s="533">
        <v>4710</v>
      </c>
      <c r="C1200" s="534" t="s">
        <v>204</v>
      </c>
      <c r="D1200" s="535">
        <v>700</v>
      </c>
      <c r="E1200" s="536" t="s">
        <v>128</v>
      </c>
      <c r="F1200" s="536" t="s">
        <v>128</v>
      </c>
    </row>
    <row r="1201" spans="1:6" s="527" customFormat="1" ht="18" customHeight="1">
      <c r="A1201" s="528">
        <v>90024</v>
      </c>
      <c r="B1201" s="529" t="s">
        <v>128</v>
      </c>
      <c r="C1201" s="530" t="s">
        <v>185</v>
      </c>
      <c r="D1201" s="531">
        <f>D1202</f>
        <v>1770</v>
      </c>
      <c r="E1201" s="526" t="s">
        <v>128</v>
      </c>
      <c r="F1201" s="526" t="s">
        <v>128</v>
      </c>
    </row>
    <row r="1202" spans="1:6" s="537" customFormat="1">
      <c r="A1202" s="532" t="s">
        <v>128</v>
      </c>
      <c r="B1202" s="533">
        <v>4210</v>
      </c>
      <c r="C1202" s="534" t="s">
        <v>194</v>
      </c>
      <c r="D1202" s="535">
        <v>1770</v>
      </c>
      <c r="E1202" s="536" t="s">
        <v>128</v>
      </c>
      <c r="F1202" s="536" t="s">
        <v>128</v>
      </c>
    </row>
    <row r="1203" spans="1:6" s="527" customFormat="1" ht="15.75" customHeight="1">
      <c r="A1203" s="528">
        <v>90026</v>
      </c>
      <c r="B1203" s="529" t="s">
        <v>128</v>
      </c>
      <c r="C1203" s="530" t="s">
        <v>93</v>
      </c>
      <c r="D1203" s="531">
        <f>SUM(D1204:D1210)</f>
        <v>101010</v>
      </c>
      <c r="E1203" s="526" t="s">
        <v>128</v>
      </c>
      <c r="F1203" s="526" t="s">
        <v>128</v>
      </c>
    </row>
    <row r="1204" spans="1:6" s="537" customFormat="1">
      <c r="A1204" s="532" t="s">
        <v>128</v>
      </c>
      <c r="B1204" s="533">
        <v>4010</v>
      </c>
      <c r="C1204" s="534" t="s">
        <v>188</v>
      </c>
      <c r="D1204" s="535">
        <v>56175</v>
      </c>
      <c r="E1204" s="536" t="s">
        <v>128</v>
      </c>
      <c r="F1204" s="536" t="s">
        <v>128</v>
      </c>
    </row>
    <row r="1205" spans="1:6" s="537" customFormat="1">
      <c r="A1205" s="532" t="s">
        <v>128</v>
      </c>
      <c r="B1205" s="533">
        <v>4040</v>
      </c>
      <c r="C1205" s="534" t="s">
        <v>189</v>
      </c>
      <c r="D1205" s="535">
        <v>5218</v>
      </c>
      <c r="E1205" s="536" t="s">
        <v>128</v>
      </c>
      <c r="F1205" s="536" t="s">
        <v>128</v>
      </c>
    </row>
    <row r="1206" spans="1:6" s="537" customFormat="1">
      <c r="A1206" s="532" t="s">
        <v>128</v>
      </c>
      <c r="B1206" s="533">
        <v>4110</v>
      </c>
      <c r="C1206" s="534" t="s">
        <v>190</v>
      </c>
      <c r="D1206" s="535">
        <v>10382</v>
      </c>
      <c r="E1206" s="536" t="s">
        <v>128</v>
      </c>
      <c r="F1206" s="536" t="s">
        <v>128</v>
      </c>
    </row>
    <row r="1207" spans="1:6" s="537" customFormat="1">
      <c r="A1207" s="532" t="s">
        <v>128</v>
      </c>
      <c r="B1207" s="533">
        <v>4120</v>
      </c>
      <c r="C1207" s="534" t="s">
        <v>191</v>
      </c>
      <c r="D1207" s="535">
        <v>1504</v>
      </c>
      <c r="E1207" s="536" t="s">
        <v>128</v>
      </c>
      <c r="F1207" s="536" t="s">
        <v>128</v>
      </c>
    </row>
    <row r="1208" spans="1:6" s="537" customFormat="1">
      <c r="A1208" s="532" t="s">
        <v>128</v>
      </c>
      <c r="B1208" s="533">
        <v>4210</v>
      </c>
      <c r="C1208" s="534" t="s">
        <v>194</v>
      </c>
      <c r="D1208" s="535">
        <v>25760</v>
      </c>
      <c r="E1208" s="536" t="s">
        <v>128</v>
      </c>
      <c r="F1208" s="536" t="s">
        <v>128</v>
      </c>
    </row>
    <row r="1209" spans="1:6" s="537" customFormat="1">
      <c r="A1209" s="532" t="s">
        <v>128</v>
      </c>
      <c r="B1209" s="533">
        <v>4700</v>
      </c>
      <c r="C1209" s="534" t="s">
        <v>646</v>
      </c>
      <c r="D1209" s="535">
        <v>1800</v>
      </c>
      <c r="E1209" s="536" t="s">
        <v>128</v>
      </c>
      <c r="F1209" s="536" t="s">
        <v>128</v>
      </c>
    </row>
    <row r="1210" spans="1:6" s="537" customFormat="1">
      <c r="A1210" s="532" t="s">
        <v>128</v>
      </c>
      <c r="B1210" s="533">
        <v>4710</v>
      </c>
      <c r="C1210" s="534" t="s">
        <v>204</v>
      </c>
      <c r="D1210" s="535">
        <v>171</v>
      </c>
      <c r="E1210" s="536" t="s">
        <v>128</v>
      </c>
      <c r="F1210" s="536" t="s">
        <v>128</v>
      </c>
    </row>
    <row r="1211" spans="1:6" s="527" customFormat="1" ht="17.25" customHeight="1">
      <c r="A1211" s="528">
        <v>90095</v>
      </c>
      <c r="B1211" s="529" t="s">
        <v>128</v>
      </c>
      <c r="C1211" s="530" t="s">
        <v>46</v>
      </c>
      <c r="D1211" s="531">
        <f>SUM(D1212:D1243)</f>
        <v>3642385</v>
      </c>
      <c r="E1211" s="526" t="s">
        <v>128</v>
      </c>
      <c r="F1211" s="526" t="s">
        <v>128</v>
      </c>
    </row>
    <row r="1212" spans="1:6" s="507" customFormat="1" ht="42.75" customHeight="1">
      <c r="A1212" s="502" t="s">
        <v>128</v>
      </c>
      <c r="B1212" s="503">
        <v>2059</v>
      </c>
      <c r="C1212" s="504" t="s">
        <v>672</v>
      </c>
      <c r="D1212" s="505">
        <v>108000</v>
      </c>
      <c r="E1212" s="506" t="s">
        <v>128</v>
      </c>
      <c r="F1212" s="506" t="s">
        <v>128</v>
      </c>
    </row>
    <row r="1213" spans="1:6" s="537" customFormat="1">
      <c r="A1213" s="532" t="s">
        <v>128</v>
      </c>
      <c r="B1213" s="533">
        <v>4010</v>
      </c>
      <c r="C1213" s="534" t="s">
        <v>188</v>
      </c>
      <c r="D1213" s="535">
        <v>716061</v>
      </c>
      <c r="E1213" s="536" t="s">
        <v>128</v>
      </c>
      <c r="F1213" s="536" t="s">
        <v>128</v>
      </c>
    </row>
    <row r="1214" spans="1:6" s="537" customFormat="1">
      <c r="A1214" s="532" t="s">
        <v>128</v>
      </c>
      <c r="B1214" s="533">
        <v>4018</v>
      </c>
      <c r="C1214" s="534" t="s">
        <v>188</v>
      </c>
      <c r="D1214" s="535">
        <v>141163</v>
      </c>
      <c r="E1214" s="536" t="s">
        <v>128</v>
      </c>
      <c r="F1214" s="536" t="s">
        <v>128</v>
      </c>
    </row>
    <row r="1215" spans="1:6" s="537" customFormat="1">
      <c r="A1215" s="532" t="s">
        <v>128</v>
      </c>
      <c r="B1215" s="533">
        <v>4019</v>
      </c>
      <c r="C1215" s="534" t="s">
        <v>188</v>
      </c>
      <c r="D1215" s="535">
        <v>35291</v>
      </c>
      <c r="E1215" s="536" t="s">
        <v>128</v>
      </c>
      <c r="F1215" s="536" t="s">
        <v>128</v>
      </c>
    </row>
    <row r="1216" spans="1:6" s="537" customFormat="1">
      <c r="A1216" s="532" t="s">
        <v>128</v>
      </c>
      <c r="B1216" s="533">
        <v>4040</v>
      </c>
      <c r="C1216" s="534" t="s">
        <v>189</v>
      </c>
      <c r="D1216" s="535">
        <v>99975</v>
      </c>
      <c r="E1216" s="536" t="s">
        <v>128</v>
      </c>
      <c r="F1216" s="536" t="s">
        <v>128</v>
      </c>
    </row>
    <row r="1217" spans="1:6" s="537" customFormat="1">
      <c r="A1217" s="532" t="s">
        <v>128</v>
      </c>
      <c r="B1217" s="533">
        <v>4048</v>
      </c>
      <c r="C1217" s="534" t="s">
        <v>189</v>
      </c>
      <c r="D1217" s="535">
        <v>12560</v>
      </c>
      <c r="E1217" s="536" t="s">
        <v>128</v>
      </c>
      <c r="F1217" s="536" t="s">
        <v>128</v>
      </c>
    </row>
    <row r="1218" spans="1:6" s="537" customFormat="1">
      <c r="A1218" s="532" t="s">
        <v>128</v>
      </c>
      <c r="B1218" s="533">
        <v>4049</v>
      </c>
      <c r="C1218" s="534" t="s">
        <v>189</v>
      </c>
      <c r="D1218" s="535">
        <v>3140</v>
      </c>
      <c r="E1218" s="536" t="s">
        <v>128</v>
      </c>
      <c r="F1218" s="536" t="s">
        <v>128</v>
      </c>
    </row>
    <row r="1219" spans="1:6" s="537" customFormat="1">
      <c r="A1219" s="532" t="s">
        <v>128</v>
      </c>
      <c r="B1219" s="533">
        <v>4110</v>
      </c>
      <c r="C1219" s="534" t="s">
        <v>190</v>
      </c>
      <c r="D1219" s="535">
        <v>145436</v>
      </c>
      <c r="E1219" s="536" t="s">
        <v>128</v>
      </c>
      <c r="F1219" s="536" t="s">
        <v>128</v>
      </c>
    </row>
    <row r="1220" spans="1:6" s="537" customFormat="1">
      <c r="A1220" s="532" t="s">
        <v>128</v>
      </c>
      <c r="B1220" s="533">
        <v>4118</v>
      </c>
      <c r="C1220" s="534" t="s">
        <v>190</v>
      </c>
      <c r="D1220" s="535">
        <v>26425</v>
      </c>
      <c r="E1220" s="536" t="s">
        <v>128</v>
      </c>
      <c r="F1220" s="536" t="s">
        <v>128</v>
      </c>
    </row>
    <row r="1221" spans="1:6" s="537" customFormat="1">
      <c r="A1221" s="532" t="s">
        <v>128</v>
      </c>
      <c r="B1221" s="533">
        <v>4119</v>
      </c>
      <c r="C1221" s="534" t="s">
        <v>190</v>
      </c>
      <c r="D1221" s="535">
        <v>6606</v>
      </c>
      <c r="E1221" s="536" t="s">
        <v>128</v>
      </c>
      <c r="F1221" s="536" t="s">
        <v>128</v>
      </c>
    </row>
    <row r="1222" spans="1:6" s="537" customFormat="1">
      <c r="A1222" s="532" t="s">
        <v>128</v>
      </c>
      <c r="B1222" s="533">
        <v>4120</v>
      </c>
      <c r="C1222" s="534" t="s">
        <v>191</v>
      </c>
      <c r="D1222" s="535">
        <v>19641</v>
      </c>
      <c r="E1222" s="536" t="s">
        <v>128</v>
      </c>
      <c r="F1222" s="536" t="s">
        <v>128</v>
      </c>
    </row>
    <row r="1223" spans="1:6" s="537" customFormat="1">
      <c r="A1223" s="532" t="s">
        <v>128</v>
      </c>
      <c r="B1223" s="533">
        <v>4128</v>
      </c>
      <c r="C1223" s="534" t="s">
        <v>191</v>
      </c>
      <c r="D1223" s="535">
        <v>3766</v>
      </c>
      <c r="E1223" s="536" t="s">
        <v>128</v>
      </c>
      <c r="F1223" s="536" t="s">
        <v>128</v>
      </c>
    </row>
    <row r="1224" spans="1:6" s="537" customFormat="1">
      <c r="A1224" s="532" t="s">
        <v>128</v>
      </c>
      <c r="B1224" s="533">
        <v>4129</v>
      </c>
      <c r="C1224" s="534" t="s">
        <v>191</v>
      </c>
      <c r="D1224" s="535">
        <v>942</v>
      </c>
      <c r="E1224" s="536" t="s">
        <v>128</v>
      </c>
      <c r="F1224" s="536" t="s">
        <v>128</v>
      </c>
    </row>
    <row r="1225" spans="1:6" s="537" customFormat="1">
      <c r="A1225" s="532" t="s">
        <v>128</v>
      </c>
      <c r="B1225" s="533">
        <v>4170</v>
      </c>
      <c r="C1225" s="534" t="s">
        <v>192</v>
      </c>
      <c r="D1225" s="535">
        <v>46500</v>
      </c>
      <c r="E1225" s="536" t="s">
        <v>128</v>
      </c>
      <c r="F1225" s="536" t="s">
        <v>128</v>
      </c>
    </row>
    <row r="1226" spans="1:6" s="537" customFormat="1">
      <c r="A1226" s="532" t="s">
        <v>128</v>
      </c>
      <c r="B1226" s="533">
        <v>4190</v>
      </c>
      <c r="C1226" s="534" t="s">
        <v>193</v>
      </c>
      <c r="D1226" s="535">
        <v>13000</v>
      </c>
      <c r="E1226" s="536" t="s">
        <v>128</v>
      </c>
      <c r="F1226" s="536" t="s">
        <v>128</v>
      </c>
    </row>
    <row r="1227" spans="1:6" s="537" customFormat="1">
      <c r="A1227" s="532" t="s">
        <v>128</v>
      </c>
      <c r="B1227" s="533">
        <v>4210</v>
      </c>
      <c r="C1227" s="534" t="s">
        <v>194</v>
      </c>
      <c r="D1227" s="535">
        <v>26400</v>
      </c>
      <c r="E1227" s="536" t="s">
        <v>128</v>
      </c>
      <c r="F1227" s="536" t="s">
        <v>128</v>
      </c>
    </row>
    <row r="1228" spans="1:6" s="537" customFormat="1">
      <c r="A1228" s="532" t="s">
        <v>128</v>
      </c>
      <c r="B1228" s="533">
        <v>4300</v>
      </c>
      <c r="C1228" s="534" t="s">
        <v>197</v>
      </c>
      <c r="D1228" s="535">
        <v>689205</v>
      </c>
      <c r="E1228" s="536" t="s">
        <v>128</v>
      </c>
      <c r="F1228" s="536" t="s">
        <v>128</v>
      </c>
    </row>
    <row r="1229" spans="1:6" s="537" customFormat="1">
      <c r="A1229" s="532" t="s">
        <v>128</v>
      </c>
      <c r="B1229" s="533">
        <v>4308</v>
      </c>
      <c r="C1229" s="534" t="s">
        <v>197</v>
      </c>
      <c r="D1229" s="535">
        <v>76000</v>
      </c>
      <c r="E1229" s="536" t="s">
        <v>128</v>
      </c>
      <c r="F1229" s="536" t="s">
        <v>128</v>
      </c>
    </row>
    <row r="1230" spans="1:6" s="537" customFormat="1">
      <c r="A1230" s="532" t="s">
        <v>128</v>
      </c>
      <c r="B1230" s="533">
        <v>4309</v>
      </c>
      <c r="C1230" s="534" t="s">
        <v>197</v>
      </c>
      <c r="D1230" s="535">
        <v>19000</v>
      </c>
      <c r="E1230" s="536" t="s">
        <v>128</v>
      </c>
      <c r="F1230" s="536" t="s">
        <v>128</v>
      </c>
    </row>
    <row r="1231" spans="1:6" s="537" customFormat="1">
      <c r="A1231" s="532" t="s">
        <v>128</v>
      </c>
      <c r="B1231" s="533">
        <v>4390</v>
      </c>
      <c r="C1231" s="534" t="s">
        <v>651</v>
      </c>
      <c r="D1231" s="535">
        <v>18000</v>
      </c>
      <c r="E1231" s="536" t="s">
        <v>128</v>
      </c>
      <c r="F1231" s="536" t="s">
        <v>128</v>
      </c>
    </row>
    <row r="1232" spans="1:6" s="537" customFormat="1">
      <c r="A1232" s="532" t="s">
        <v>128</v>
      </c>
      <c r="B1232" s="533">
        <v>4418</v>
      </c>
      <c r="C1232" s="534" t="s">
        <v>198</v>
      </c>
      <c r="D1232" s="535">
        <v>800</v>
      </c>
      <c r="E1232" s="536" t="s">
        <v>128</v>
      </c>
      <c r="F1232" s="536" t="s">
        <v>128</v>
      </c>
    </row>
    <row r="1233" spans="1:6" s="537" customFormat="1">
      <c r="A1233" s="532" t="s">
        <v>128</v>
      </c>
      <c r="B1233" s="533">
        <v>4419</v>
      </c>
      <c r="C1233" s="534" t="s">
        <v>198</v>
      </c>
      <c r="D1233" s="535">
        <v>200</v>
      </c>
      <c r="E1233" s="536" t="s">
        <v>128</v>
      </c>
      <c r="F1233" s="536" t="s">
        <v>128</v>
      </c>
    </row>
    <row r="1234" spans="1:6" s="537" customFormat="1">
      <c r="A1234" s="532" t="s">
        <v>128</v>
      </c>
      <c r="B1234" s="533">
        <v>4428</v>
      </c>
      <c r="C1234" s="534" t="s">
        <v>644</v>
      </c>
      <c r="D1234" s="535">
        <v>34880</v>
      </c>
      <c r="E1234" s="536" t="s">
        <v>128</v>
      </c>
      <c r="F1234" s="536" t="s">
        <v>128</v>
      </c>
    </row>
    <row r="1235" spans="1:6" s="537" customFormat="1">
      <c r="A1235" s="532" t="s">
        <v>128</v>
      </c>
      <c r="B1235" s="533">
        <v>4429</v>
      </c>
      <c r="C1235" s="534" t="s">
        <v>644</v>
      </c>
      <c r="D1235" s="535">
        <v>8720</v>
      </c>
      <c r="E1235" s="536" t="s">
        <v>128</v>
      </c>
      <c r="F1235" s="536" t="s">
        <v>128</v>
      </c>
    </row>
    <row r="1236" spans="1:6" s="537" customFormat="1">
      <c r="A1236" s="532" t="s">
        <v>128</v>
      </c>
      <c r="B1236" s="533">
        <v>4438</v>
      </c>
      <c r="C1236" s="534" t="s">
        <v>645</v>
      </c>
      <c r="D1236" s="535">
        <v>320</v>
      </c>
      <c r="E1236" s="536" t="s">
        <v>128</v>
      </c>
      <c r="F1236" s="536" t="s">
        <v>128</v>
      </c>
    </row>
    <row r="1237" spans="1:6" s="537" customFormat="1">
      <c r="A1237" s="532" t="s">
        <v>128</v>
      </c>
      <c r="B1237" s="533">
        <v>4439</v>
      </c>
      <c r="C1237" s="534" t="s">
        <v>645</v>
      </c>
      <c r="D1237" s="535">
        <v>80</v>
      </c>
      <c r="E1237" s="536" t="s">
        <v>128</v>
      </c>
      <c r="F1237" s="536" t="s">
        <v>128</v>
      </c>
    </row>
    <row r="1238" spans="1:6" s="537" customFormat="1">
      <c r="A1238" s="532" t="s">
        <v>128</v>
      </c>
      <c r="B1238" s="533">
        <v>4700</v>
      </c>
      <c r="C1238" s="534" t="s">
        <v>646</v>
      </c>
      <c r="D1238" s="535">
        <v>22000</v>
      </c>
      <c r="E1238" s="536" t="s">
        <v>128</v>
      </c>
      <c r="F1238" s="536" t="s">
        <v>128</v>
      </c>
    </row>
    <row r="1239" spans="1:6" s="537" customFormat="1">
      <c r="A1239" s="532" t="s">
        <v>128</v>
      </c>
      <c r="B1239" s="533">
        <v>4710</v>
      </c>
      <c r="C1239" s="534" t="s">
        <v>204</v>
      </c>
      <c r="D1239" s="535">
        <v>12024</v>
      </c>
      <c r="E1239" s="536" t="s">
        <v>128</v>
      </c>
      <c r="F1239" s="536" t="s">
        <v>128</v>
      </c>
    </row>
    <row r="1240" spans="1:6" s="537" customFormat="1" ht="12.75" customHeight="1">
      <c r="A1240" s="532" t="s">
        <v>128</v>
      </c>
      <c r="B1240" s="533">
        <v>4718</v>
      </c>
      <c r="C1240" s="534" t="s">
        <v>204</v>
      </c>
      <c r="D1240" s="535">
        <v>2306</v>
      </c>
      <c r="E1240" s="536" t="s">
        <v>128</v>
      </c>
      <c r="F1240" s="536" t="s">
        <v>128</v>
      </c>
    </row>
    <row r="1241" spans="1:6" s="537" customFormat="1">
      <c r="A1241" s="532" t="s">
        <v>128</v>
      </c>
      <c r="B1241" s="533">
        <v>4719</v>
      </c>
      <c r="C1241" s="534" t="s">
        <v>204</v>
      </c>
      <c r="D1241" s="535">
        <v>576</v>
      </c>
      <c r="E1241" s="536" t="s">
        <v>128</v>
      </c>
      <c r="F1241" s="536" t="s">
        <v>128</v>
      </c>
    </row>
    <row r="1242" spans="1:6" s="537" customFormat="1">
      <c r="A1242" s="532" t="s">
        <v>128</v>
      </c>
      <c r="B1242" s="533">
        <v>6010</v>
      </c>
      <c r="C1242" s="534" t="s">
        <v>659</v>
      </c>
      <c r="D1242" s="535">
        <v>1000000</v>
      </c>
      <c r="E1242" s="536" t="s">
        <v>128</v>
      </c>
      <c r="F1242" s="536" t="s">
        <v>128</v>
      </c>
    </row>
    <row r="1243" spans="1:6" s="507" customFormat="1" ht="42.75" customHeight="1">
      <c r="A1243" s="502" t="s">
        <v>128</v>
      </c>
      <c r="B1243" s="503">
        <v>6259</v>
      </c>
      <c r="C1243" s="504" t="s">
        <v>131</v>
      </c>
      <c r="D1243" s="505">
        <v>353368</v>
      </c>
      <c r="E1243" s="506" t="s">
        <v>128</v>
      </c>
      <c r="F1243" s="506" t="s">
        <v>128</v>
      </c>
    </row>
    <row r="1244" spans="1:6" s="537" customFormat="1">
      <c r="A1244" s="522">
        <v>921</v>
      </c>
      <c r="B1244" s="523" t="s">
        <v>128</v>
      </c>
      <c r="C1244" s="524" t="s">
        <v>41</v>
      </c>
      <c r="D1244" s="525">
        <f>D1245+D1247+D1251+D1254+D1258+D1262+D1264+D1268+D1273+D1279</f>
        <v>269257186</v>
      </c>
      <c r="E1244" s="536" t="s">
        <v>128</v>
      </c>
      <c r="F1244" s="536" t="s">
        <v>128</v>
      </c>
    </row>
    <row r="1245" spans="1:6" s="537" customFormat="1">
      <c r="A1245" s="528">
        <v>92105</v>
      </c>
      <c r="B1245" s="529" t="s">
        <v>128</v>
      </c>
      <c r="C1245" s="530" t="s">
        <v>271</v>
      </c>
      <c r="D1245" s="531">
        <f>D1246</f>
        <v>470000</v>
      </c>
      <c r="E1245" s="536" t="s">
        <v>128</v>
      </c>
      <c r="F1245" s="536" t="s">
        <v>128</v>
      </c>
    </row>
    <row r="1246" spans="1:6" s="507" customFormat="1" ht="30.75" customHeight="1">
      <c r="A1246" s="502" t="s">
        <v>128</v>
      </c>
      <c r="B1246" s="503">
        <v>2800</v>
      </c>
      <c r="C1246" s="504" t="s">
        <v>202</v>
      </c>
      <c r="D1246" s="505">
        <v>470000</v>
      </c>
      <c r="E1246" s="506" t="s">
        <v>128</v>
      </c>
      <c r="F1246" s="506" t="s">
        <v>128</v>
      </c>
    </row>
    <row r="1247" spans="1:6" s="527" customFormat="1">
      <c r="A1247" s="528">
        <v>92106</v>
      </c>
      <c r="B1247" s="529" t="s">
        <v>128</v>
      </c>
      <c r="C1247" s="530" t="s">
        <v>205</v>
      </c>
      <c r="D1247" s="531">
        <f>SUM(D1248:D1250)</f>
        <v>108287563</v>
      </c>
      <c r="E1247" s="526" t="s">
        <v>128</v>
      </c>
      <c r="F1247" s="526" t="s">
        <v>128</v>
      </c>
    </row>
    <row r="1248" spans="1:6" s="537" customFormat="1" ht="12.75" customHeight="1">
      <c r="A1248" s="532" t="s">
        <v>128</v>
      </c>
      <c r="B1248" s="533">
        <v>2480</v>
      </c>
      <c r="C1248" s="534" t="s">
        <v>695</v>
      </c>
      <c r="D1248" s="535">
        <v>49219000</v>
      </c>
      <c r="E1248" s="536" t="s">
        <v>128</v>
      </c>
      <c r="F1248" s="536" t="s">
        <v>128</v>
      </c>
    </row>
    <row r="1249" spans="1:6" s="507" customFormat="1" ht="28.5" customHeight="1">
      <c r="A1249" s="502" t="s">
        <v>128</v>
      </c>
      <c r="B1249" s="503">
        <v>2800</v>
      </c>
      <c r="C1249" s="504" t="s">
        <v>202</v>
      </c>
      <c r="D1249" s="505">
        <v>173354</v>
      </c>
      <c r="E1249" s="506" t="s">
        <v>128</v>
      </c>
      <c r="F1249" s="506" t="s">
        <v>128</v>
      </c>
    </row>
    <row r="1250" spans="1:6" s="507" customFormat="1" ht="28.5" customHeight="1">
      <c r="A1250" s="502" t="s">
        <v>128</v>
      </c>
      <c r="B1250" s="503">
        <v>6220</v>
      </c>
      <c r="C1250" s="504" t="s">
        <v>260</v>
      </c>
      <c r="D1250" s="505">
        <v>58895209</v>
      </c>
      <c r="E1250" s="506" t="s">
        <v>128</v>
      </c>
      <c r="F1250" s="506" t="s">
        <v>128</v>
      </c>
    </row>
    <row r="1251" spans="1:6" s="527" customFormat="1">
      <c r="A1251" s="528">
        <v>92108</v>
      </c>
      <c r="B1251" s="529" t="s">
        <v>128</v>
      </c>
      <c r="C1251" s="530" t="s">
        <v>400</v>
      </c>
      <c r="D1251" s="531">
        <f>SUM(D1252:D1253)</f>
        <v>30408568</v>
      </c>
      <c r="E1251" s="526" t="s">
        <v>128</v>
      </c>
      <c r="F1251" s="526" t="s">
        <v>128</v>
      </c>
    </row>
    <row r="1252" spans="1:6" s="537" customFormat="1">
      <c r="A1252" s="532" t="s">
        <v>128</v>
      </c>
      <c r="B1252" s="533">
        <v>2480</v>
      </c>
      <c r="C1252" s="534" t="s">
        <v>695</v>
      </c>
      <c r="D1252" s="535">
        <v>16216000</v>
      </c>
      <c r="E1252" s="536" t="s">
        <v>128</v>
      </c>
      <c r="F1252" s="536" t="s">
        <v>128</v>
      </c>
    </row>
    <row r="1253" spans="1:6" s="507" customFormat="1" ht="32.25" customHeight="1">
      <c r="A1253" s="502" t="s">
        <v>128</v>
      </c>
      <c r="B1253" s="503">
        <v>6220</v>
      </c>
      <c r="C1253" s="504" t="s">
        <v>260</v>
      </c>
      <c r="D1253" s="505">
        <v>14192568</v>
      </c>
      <c r="E1253" s="506" t="s">
        <v>128</v>
      </c>
      <c r="F1253" s="506" t="s">
        <v>128</v>
      </c>
    </row>
    <row r="1254" spans="1:6" s="527" customFormat="1">
      <c r="A1254" s="528">
        <v>92109</v>
      </c>
      <c r="B1254" s="529" t="s">
        <v>128</v>
      </c>
      <c r="C1254" s="530" t="s">
        <v>94</v>
      </c>
      <c r="D1254" s="531">
        <f>SUM(D1255:D1257)</f>
        <v>25186458</v>
      </c>
      <c r="E1254" s="526" t="s">
        <v>128</v>
      </c>
      <c r="F1254" s="526" t="s">
        <v>128</v>
      </c>
    </row>
    <row r="1255" spans="1:6" s="537" customFormat="1" ht="12.75" customHeight="1">
      <c r="A1255" s="542" t="s">
        <v>128</v>
      </c>
      <c r="B1255" s="543">
        <v>2480</v>
      </c>
      <c r="C1255" s="544" t="s">
        <v>695</v>
      </c>
      <c r="D1255" s="545">
        <v>14232000</v>
      </c>
      <c r="E1255" s="536" t="s">
        <v>128</v>
      </c>
      <c r="F1255" s="536" t="s">
        <v>128</v>
      </c>
    </row>
    <row r="1256" spans="1:6" s="507" customFormat="1" ht="30" customHeight="1">
      <c r="A1256" s="508" t="s">
        <v>128</v>
      </c>
      <c r="B1256" s="509">
        <v>2800</v>
      </c>
      <c r="C1256" s="510" t="s">
        <v>202</v>
      </c>
      <c r="D1256" s="511">
        <v>471566</v>
      </c>
      <c r="E1256" s="506" t="s">
        <v>128</v>
      </c>
      <c r="F1256" s="506" t="s">
        <v>128</v>
      </c>
    </row>
    <row r="1257" spans="1:6" s="507" customFormat="1" ht="30" customHeight="1">
      <c r="A1257" s="502" t="s">
        <v>128</v>
      </c>
      <c r="B1257" s="503">
        <v>6220</v>
      </c>
      <c r="C1257" s="504" t="s">
        <v>260</v>
      </c>
      <c r="D1257" s="505">
        <v>10482892</v>
      </c>
      <c r="E1257" s="506" t="s">
        <v>128</v>
      </c>
      <c r="F1257" s="506" t="s">
        <v>128</v>
      </c>
    </row>
    <row r="1258" spans="1:6" s="527" customFormat="1">
      <c r="A1258" s="528">
        <v>92110</v>
      </c>
      <c r="B1258" s="529" t="s">
        <v>128</v>
      </c>
      <c r="C1258" s="530" t="s">
        <v>401</v>
      </c>
      <c r="D1258" s="531">
        <f>SUM(D1259:D1261)</f>
        <v>4832193</v>
      </c>
      <c r="E1258" s="526" t="s">
        <v>128</v>
      </c>
      <c r="F1258" s="526" t="s">
        <v>128</v>
      </c>
    </row>
    <row r="1259" spans="1:6" s="537" customFormat="1">
      <c r="A1259" s="532" t="s">
        <v>128</v>
      </c>
      <c r="B1259" s="533">
        <v>2480</v>
      </c>
      <c r="C1259" s="534" t="s">
        <v>695</v>
      </c>
      <c r="D1259" s="535">
        <v>4342000</v>
      </c>
      <c r="E1259" s="536" t="s">
        <v>128</v>
      </c>
      <c r="F1259" s="536" t="s">
        <v>128</v>
      </c>
    </row>
    <row r="1260" spans="1:6" s="507" customFormat="1" ht="28.5" customHeight="1">
      <c r="A1260" s="502" t="s">
        <v>128</v>
      </c>
      <c r="B1260" s="503">
        <v>2800</v>
      </c>
      <c r="C1260" s="504" t="s">
        <v>202</v>
      </c>
      <c r="D1260" s="505">
        <v>64240</v>
      </c>
      <c r="E1260" s="506" t="s">
        <v>128</v>
      </c>
      <c r="F1260" s="506" t="s">
        <v>128</v>
      </c>
    </row>
    <row r="1261" spans="1:6" s="507" customFormat="1" ht="28.5" customHeight="1">
      <c r="A1261" s="502" t="s">
        <v>128</v>
      </c>
      <c r="B1261" s="503">
        <v>6220</v>
      </c>
      <c r="C1261" s="504" t="s">
        <v>260</v>
      </c>
      <c r="D1261" s="505">
        <v>425953</v>
      </c>
      <c r="E1261" s="506" t="s">
        <v>128</v>
      </c>
      <c r="F1261" s="506" t="s">
        <v>128</v>
      </c>
    </row>
    <row r="1262" spans="1:6" s="527" customFormat="1">
      <c r="A1262" s="528">
        <v>92113</v>
      </c>
      <c r="B1262" s="529" t="s">
        <v>128</v>
      </c>
      <c r="C1262" s="530" t="s">
        <v>402</v>
      </c>
      <c r="D1262" s="531">
        <f>D1263</f>
        <v>1609500</v>
      </c>
      <c r="E1262" s="526" t="s">
        <v>128</v>
      </c>
      <c r="F1262" s="526" t="s">
        <v>128</v>
      </c>
    </row>
    <row r="1263" spans="1:6" s="537" customFormat="1" ht="12.75" customHeight="1">
      <c r="A1263" s="532" t="s">
        <v>128</v>
      </c>
      <c r="B1263" s="533">
        <v>2480</v>
      </c>
      <c r="C1263" s="534" t="s">
        <v>695</v>
      </c>
      <c r="D1263" s="535">
        <v>1609500</v>
      </c>
      <c r="E1263" s="536" t="s">
        <v>128</v>
      </c>
      <c r="F1263" s="536" t="s">
        <v>128</v>
      </c>
    </row>
    <row r="1264" spans="1:6" s="527" customFormat="1">
      <c r="A1264" s="528">
        <v>92116</v>
      </c>
      <c r="B1264" s="529" t="s">
        <v>128</v>
      </c>
      <c r="C1264" s="530" t="s">
        <v>95</v>
      </c>
      <c r="D1264" s="531">
        <f>SUM(D1265:D1267)</f>
        <v>55816905</v>
      </c>
      <c r="E1264" s="526" t="s">
        <v>128</v>
      </c>
      <c r="F1264" s="526" t="s">
        <v>128</v>
      </c>
    </row>
    <row r="1265" spans="1:6" s="537" customFormat="1" ht="12.75" customHeight="1">
      <c r="A1265" s="532" t="s">
        <v>128</v>
      </c>
      <c r="B1265" s="533">
        <v>2480</v>
      </c>
      <c r="C1265" s="534" t="s">
        <v>695</v>
      </c>
      <c r="D1265" s="535">
        <v>32997000</v>
      </c>
      <c r="E1265" s="536" t="s">
        <v>128</v>
      </c>
      <c r="F1265" s="536" t="s">
        <v>128</v>
      </c>
    </row>
    <row r="1266" spans="1:6" s="507" customFormat="1" ht="28.5" customHeight="1">
      <c r="A1266" s="502" t="s">
        <v>128</v>
      </c>
      <c r="B1266" s="503">
        <v>2800</v>
      </c>
      <c r="C1266" s="504" t="s">
        <v>202</v>
      </c>
      <c r="D1266" s="505">
        <v>402052</v>
      </c>
      <c r="E1266" s="506" t="s">
        <v>128</v>
      </c>
      <c r="F1266" s="506" t="s">
        <v>128</v>
      </c>
    </row>
    <row r="1267" spans="1:6" s="507" customFormat="1" ht="28.5" customHeight="1">
      <c r="A1267" s="502" t="s">
        <v>128</v>
      </c>
      <c r="B1267" s="503">
        <v>6220</v>
      </c>
      <c r="C1267" s="504" t="s">
        <v>260</v>
      </c>
      <c r="D1267" s="505">
        <v>22417853</v>
      </c>
      <c r="E1267" s="506" t="s">
        <v>128</v>
      </c>
      <c r="F1267" s="506" t="s">
        <v>128</v>
      </c>
    </row>
    <row r="1268" spans="1:6" s="527" customFormat="1">
      <c r="A1268" s="528">
        <v>92118</v>
      </c>
      <c r="B1268" s="529" t="s">
        <v>128</v>
      </c>
      <c r="C1268" s="530" t="s">
        <v>403</v>
      </c>
      <c r="D1268" s="531">
        <f>SUM(D1269:D1272)</f>
        <v>26525999</v>
      </c>
      <c r="E1268" s="526" t="s">
        <v>128</v>
      </c>
      <c r="F1268" s="526" t="s">
        <v>128</v>
      </c>
    </row>
    <row r="1269" spans="1:6" s="537" customFormat="1" ht="12.75" customHeight="1">
      <c r="A1269" s="532" t="s">
        <v>128</v>
      </c>
      <c r="B1269" s="533">
        <v>2480</v>
      </c>
      <c r="C1269" s="534" t="s">
        <v>695</v>
      </c>
      <c r="D1269" s="535">
        <v>24212000</v>
      </c>
      <c r="E1269" s="536" t="s">
        <v>128</v>
      </c>
      <c r="F1269" s="536" t="s">
        <v>128</v>
      </c>
    </row>
    <row r="1270" spans="1:6" s="507" customFormat="1" ht="27.75" customHeight="1">
      <c r="A1270" s="502" t="s">
        <v>128</v>
      </c>
      <c r="B1270" s="503">
        <v>2710</v>
      </c>
      <c r="C1270" s="504" t="s">
        <v>638</v>
      </c>
      <c r="D1270" s="505">
        <v>100000</v>
      </c>
      <c r="E1270" s="506" t="s">
        <v>128</v>
      </c>
      <c r="F1270" s="506" t="s">
        <v>128</v>
      </c>
    </row>
    <row r="1271" spans="1:6" s="507" customFormat="1" ht="27.75" customHeight="1">
      <c r="A1271" s="502" t="s">
        <v>128</v>
      </c>
      <c r="B1271" s="503">
        <v>2800</v>
      </c>
      <c r="C1271" s="504" t="s">
        <v>202</v>
      </c>
      <c r="D1271" s="505">
        <v>238900</v>
      </c>
      <c r="E1271" s="506" t="s">
        <v>128</v>
      </c>
      <c r="F1271" s="506" t="s">
        <v>128</v>
      </c>
    </row>
    <row r="1272" spans="1:6" s="507" customFormat="1" ht="27.75" customHeight="1">
      <c r="A1272" s="502" t="s">
        <v>128</v>
      </c>
      <c r="B1272" s="503">
        <v>6220</v>
      </c>
      <c r="C1272" s="504" t="s">
        <v>260</v>
      </c>
      <c r="D1272" s="505">
        <v>1975099</v>
      </c>
      <c r="E1272" s="506" t="s">
        <v>128</v>
      </c>
      <c r="F1272" s="506" t="s">
        <v>128</v>
      </c>
    </row>
    <row r="1273" spans="1:6" s="527" customFormat="1" ht="17.25" customHeight="1">
      <c r="A1273" s="528">
        <v>92120</v>
      </c>
      <c r="B1273" s="529" t="s">
        <v>128</v>
      </c>
      <c r="C1273" s="530" t="s">
        <v>404</v>
      </c>
      <c r="D1273" s="531">
        <f>SUM(D1274:D1278)</f>
        <v>2000000</v>
      </c>
      <c r="E1273" s="526" t="s">
        <v>128</v>
      </c>
      <c r="F1273" s="526" t="s">
        <v>128</v>
      </c>
    </row>
    <row r="1274" spans="1:6" s="507" customFormat="1" ht="42.75" customHeight="1">
      <c r="A1274" s="502" t="s">
        <v>128</v>
      </c>
      <c r="B1274" s="503">
        <v>2720</v>
      </c>
      <c r="C1274" s="504" t="s">
        <v>696</v>
      </c>
      <c r="D1274" s="505">
        <v>1200000</v>
      </c>
      <c r="E1274" s="506" t="s">
        <v>128</v>
      </c>
      <c r="F1274" s="506" t="s">
        <v>128</v>
      </c>
    </row>
    <row r="1275" spans="1:6" s="507" customFormat="1" ht="42.75" customHeight="1">
      <c r="A1275" s="502" t="s">
        <v>128</v>
      </c>
      <c r="B1275" s="503">
        <v>2730</v>
      </c>
      <c r="C1275" s="504" t="s">
        <v>697</v>
      </c>
      <c r="D1275" s="505">
        <v>645000</v>
      </c>
      <c r="E1275" s="506" t="s">
        <v>128</v>
      </c>
      <c r="F1275" s="506" t="s">
        <v>128</v>
      </c>
    </row>
    <row r="1276" spans="1:6" s="537" customFormat="1">
      <c r="A1276" s="532" t="s">
        <v>128</v>
      </c>
      <c r="B1276" s="533">
        <v>4110</v>
      </c>
      <c r="C1276" s="534" t="s">
        <v>190</v>
      </c>
      <c r="D1276" s="535">
        <v>5000</v>
      </c>
      <c r="E1276" s="536" t="s">
        <v>128</v>
      </c>
      <c r="F1276" s="536" t="s">
        <v>128</v>
      </c>
    </row>
    <row r="1277" spans="1:6" s="537" customFormat="1">
      <c r="A1277" s="532" t="s">
        <v>128</v>
      </c>
      <c r="B1277" s="533">
        <v>4170</v>
      </c>
      <c r="C1277" s="534" t="s">
        <v>192</v>
      </c>
      <c r="D1277" s="535">
        <v>50000</v>
      </c>
      <c r="E1277" s="536" t="s">
        <v>128</v>
      </c>
      <c r="F1277" s="536" t="s">
        <v>128</v>
      </c>
    </row>
    <row r="1278" spans="1:6" s="537" customFormat="1">
      <c r="A1278" s="532" t="s">
        <v>128</v>
      </c>
      <c r="B1278" s="533">
        <v>4300</v>
      </c>
      <c r="C1278" s="534" t="s">
        <v>197</v>
      </c>
      <c r="D1278" s="535">
        <v>100000</v>
      </c>
      <c r="E1278" s="536" t="s">
        <v>128</v>
      </c>
      <c r="F1278" s="536" t="s">
        <v>128</v>
      </c>
    </row>
    <row r="1279" spans="1:6" s="527" customFormat="1">
      <c r="A1279" s="528">
        <v>92195</v>
      </c>
      <c r="B1279" s="529" t="s">
        <v>128</v>
      </c>
      <c r="C1279" s="530" t="s">
        <v>46</v>
      </c>
      <c r="D1279" s="531">
        <f>SUM(D1280:D1290)</f>
        <v>14120000</v>
      </c>
      <c r="E1279" s="526" t="s">
        <v>128</v>
      </c>
      <c r="F1279" s="526" t="s">
        <v>128</v>
      </c>
    </row>
    <row r="1280" spans="1:6" s="507" customFormat="1" ht="42" customHeight="1">
      <c r="A1280" s="502" t="s">
        <v>128</v>
      </c>
      <c r="B1280" s="503">
        <v>2360</v>
      </c>
      <c r="C1280" s="504" t="s">
        <v>648</v>
      </c>
      <c r="D1280" s="505">
        <v>1300000</v>
      </c>
      <c r="E1280" s="506" t="s">
        <v>128</v>
      </c>
      <c r="F1280" s="506" t="s">
        <v>128</v>
      </c>
    </row>
    <row r="1281" spans="1:6" s="507" customFormat="1" ht="30" customHeight="1">
      <c r="A1281" s="502" t="s">
        <v>128</v>
      </c>
      <c r="B1281" s="503">
        <v>2710</v>
      </c>
      <c r="C1281" s="504" t="s">
        <v>638</v>
      </c>
      <c r="D1281" s="505">
        <v>350000</v>
      </c>
      <c r="E1281" s="506" t="s">
        <v>128</v>
      </c>
      <c r="F1281" s="506" t="s">
        <v>128</v>
      </c>
    </row>
    <row r="1282" spans="1:6" s="507" customFormat="1" ht="30" customHeight="1">
      <c r="A1282" s="502" t="s">
        <v>128</v>
      </c>
      <c r="B1282" s="503">
        <v>2800</v>
      </c>
      <c r="C1282" s="504" t="s">
        <v>202</v>
      </c>
      <c r="D1282" s="505">
        <v>4150000</v>
      </c>
      <c r="E1282" s="506" t="s">
        <v>128</v>
      </c>
      <c r="F1282" s="506" t="s">
        <v>128</v>
      </c>
    </row>
    <row r="1283" spans="1:6" s="537" customFormat="1" ht="12.75" customHeight="1">
      <c r="A1283" s="532" t="s">
        <v>128</v>
      </c>
      <c r="B1283" s="533">
        <v>3040</v>
      </c>
      <c r="C1283" s="534" t="s">
        <v>671</v>
      </c>
      <c r="D1283" s="535">
        <v>250000</v>
      </c>
      <c r="E1283" s="536" t="s">
        <v>128</v>
      </c>
      <c r="F1283" s="536" t="s">
        <v>128</v>
      </c>
    </row>
    <row r="1284" spans="1:6" s="537" customFormat="1">
      <c r="A1284" s="532" t="s">
        <v>128</v>
      </c>
      <c r="B1284" s="533">
        <v>3250</v>
      </c>
      <c r="C1284" s="534" t="s">
        <v>690</v>
      </c>
      <c r="D1284" s="535">
        <v>200000</v>
      </c>
      <c r="E1284" s="536" t="s">
        <v>128</v>
      </c>
      <c r="F1284" s="536" t="s">
        <v>128</v>
      </c>
    </row>
    <row r="1285" spans="1:6" s="537" customFormat="1">
      <c r="A1285" s="532" t="s">
        <v>128</v>
      </c>
      <c r="B1285" s="533">
        <v>4110</v>
      </c>
      <c r="C1285" s="534" t="s">
        <v>190</v>
      </c>
      <c r="D1285" s="535">
        <v>3500</v>
      </c>
      <c r="E1285" s="536" t="s">
        <v>128</v>
      </c>
      <c r="F1285" s="536" t="s">
        <v>128</v>
      </c>
    </row>
    <row r="1286" spans="1:6" s="537" customFormat="1">
      <c r="A1286" s="532" t="s">
        <v>128</v>
      </c>
      <c r="B1286" s="533">
        <v>4120</v>
      </c>
      <c r="C1286" s="534" t="s">
        <v>191</v>
      </c>
      <c r="D1286" s="535">
        <v>500</v>
      </c>
      <c r="E1286" s="536" t="s">
        <v>128</v>
      </c>
      <c r="F1286" s="536" t="s">
        <v>128</v>
      </c>
    </row>
    <row r="1287" spans="1:6" s="537" customFormat="1">
      <c r="A1287" s="532" t="s">
        <v>128</v>
      </c>
      <c r="B1287" s="533">
        <v>4170</v>
      </c>
      <c r="C1287" s="534" t="s">
        <v>192</v>
      </c>
      <c r="D1287" s="535">
        <v>95000</v>
      </c>
      <c r="E1287" s="536" t="s">
        <v>128</v>
      </c>
      <c r="F1287" s="536" t="s">
        <v>128</v>
      </c>
    </row>
    <row r="1288" spans="1:6" s="537" customFormat="1">
      <c r="A1288" s="532" t="s">
        <v>128</v>
      </c>
      <c r="B1288" s="533">
        <v>4190</v>
      </c>
      <c r="C1288" s="534" t="s">
        <v>193</v>
      </c>
      <c r="D1288" s="535">
        <v>210000</v>
      </c>
      <c r="E1288" s="536" t="s">
        <v>128</v>
      </c>
      <c r="F1288" s="536" t="s">
        <v>128</v>
      </c>
    </row>
    <row r="1289" spans="1:6" s="537" customFormat="1">
      <c r="A1289" s="532" t="s">
        <v>128</v>
      </c>
      <c r="B1289" s="533">
        <v>4210</v>
      </c>
      <c r="C1289" s="534" t="s">
        <v>194</v>
      </c>
      <c r="D1289" s="535">
        <v>55000</v>
      </c>
      <c r="E1289" s="536" t="s">
        <v>128</v>
      </c>
      <c r="F1289" s="536" t="s">
        <v>128</v>
      </c>
    </row>
    <row r="1290" spans="1:6" s="537" customFormat="1" ht="12.75" customHeight="1">
      <c r="A1290" s="532" t="s">
        <v>128</v>
      </c>
      <c r="B1290" s="533">
        <v>4300</v>
      </c>
      <c r="C1290" s="534" t="s">
        <v>197</v>
      </c>
      <c r="D1290" s="535">
        <v>7506000</v>
      </c>
      <c r="E1290" s="536" t="s">
        <v>128</v>
      </c>
      <c r="F1290" s="536" t="s">
        <v>128</v>
      </c>
    </row>
    <row r="1291" spans="1:6" s="497" customFormat="1" ht="29.25" customHeight="1">
      <c r="A1291" s="492">
        <v>925</v>
      </c>
      <c r="B1291" s="493" t="s">
        <v>128</v>
      </c>
      <c r="C1291" s="494" t="s">
        <v>96</v>
      </c>
      <c r="D1291" s="495">
        <f>D1292</f>
        <v>7746472</v>
      </c>
      <c r="E1291" s="496" t="s">
        <v>128</v>
      </c>
      <c r="F1291" s="496" t="s">
        <v>128</v>
      </c>
    </row>
    <row r="1292" spans="1:6" s="527" customFormat="1">
      <c r="A1292" s="528">
        <v>92502</v>
      </c>
      <c r="B1292" s="529" t="s">
        <v>128</v>
      </c>
      <c r="C1292" s="530" t="s">
        <v>97</v>
      </c>
      <c r="D1292" s="531">
        <f>SUM(D1293:D1319)</f>
        <v>7746472</v>
      </c>
      <c r="E1292" s="526" t="s">
        <v>128</v>
      </c>
      <c r="F1292" s="526" t="s">
        <v>128</v>
      </c>
    </row>
    <row r="1293" spans="1:6" s="537" customFormat="1">
      <c r="A1293" s="532" t="s">
        <v>128</v>
      </c>
      <c r="B1293" s="533">
        <v>3020</v>
      </c>
      <c r="C1293" s="534" t="s">
        <v>664</v>
      </c>
      <c r="D1293" s="535">
        <v>141761</v>
      </c>
      <c r="E1293" s="536" t="s">
        <v>128</v>
      </c>
      <c r="F1293" s="536" t="s">
        <v>128</v>
      </c>
    </row>
    <row r="1294" spans="1:6" s="537" customFormat="1">
      <c r="A1294" s="532" t="s">
        <v>128</v>
      </c>
      <c r="B1294" s="533">
        <v>4010</v>
      </c>
      <c r="C1294" s="534" t="s">
        <v>188</v>
      </c>
      <c r="D1294" s="535">
        <v>4327040</v>
      </c>
      <c r="E1294" s="536" t="s">
        <v>128</v>
      </c>
      <c r="F1294" s="536" t="s">
        <v>128</v>
      </c>
    </row>
    <row r="1295" spans="1:6" s="537" customFormat="1">
      <c r="A1295" s="532" t="s">
        <v>128</v>
      </c>
      <c r="B1295" s="533">
        <v>4040</v>
      </c>
      <c r="C1295" s="534" t="s">
        <v>189</v>
      </c>
      <c r="D1295" s="535">
        <v>345283</v>
      </c>
      <c r="E1295" s="536" t="s">
        <v>128</v>
      </c>
      <c r="F1295" s="536" t="s">
        <v>128</v>
      </c>
    </row>
    <row r="1296" spans="1:6" s="537" customFormat="1">
      <c r="A1296" s="532" t="s">
        <v>128</v>
      </c>
      <c r="B1296" s="533">
        <v>4110</v>
      </c>
      <c r="C1296" s="534" t="s">
        <v>190</v>
      </c>
      <c r="D1296" s="535">
        <v>820062</v>
      </c>
      <c r="E1296" s="536" t="s">
        <v>128</v>
      </c>
      <c r="F1296" s="536" t="s">
        <v>128</v>
      </c>
    </row>
    <row r="1297" spans="1:6" s="537" customFormat="1">
      <c r="A1297" s="532" t="s">
        <v>128</v>
      </c>
      <c r="B1297" s="533">
        <v>4120</v>
      </c>
      <c r="C1297" s="534" t="s">
        <v>191</v>
      </c>
      <c r="D1297" s="535">
        <v>103094</v>
      </c>
      <c r="E1297" s="536" t="s">
        <v>128</v>
      </c>
      <c r="F1297" s="536" t="s">
        <v>128</v>
      </c>
    </row>
    <row r="1298" spans="1:6" s="537" customFormat="1">
      <c r="A1298" s="532" t="s">
        <v>128</v>
      </c>
      <c r="B1298" s="533">
        <v>4170</v>
      </c>
      <c r="C1298" s="534" t="s">
        <v>192</v>
      </c>
      <c r="D1298" s="535">
        <v>100945</v>
      </c>
      <c r="E1298" s="536" t="s">
        <v>128</v>
      </c>
      <c r="F1298" s="536" t="s">
        <v>128</v>
      </c>
    </row>
    <row r="1299" spans="1:6" s="537" customFormat="1">
      <c r="A1299" s="532" t="s">
        <v>128</v>
      </c>
      <c r="B1299" s="533">
        <v>4210</v>
      </c>
      <c r="C1299" s="534" t="s">
        <v>194</v>
      </c>
      <c r="D1299" s="535">
        <v>351750</v>
      </c>
      <c r="E1299" s="536" t="s">
        <v>128</v>
      </c>
      <c r="F1299" s="536" t="s">
        <v>128</v>
      </c>
    </row>
    <row r="1300" spans="1:6" s="537" customFormat="1">
      <c r="A1300" s="532" t="s">
        <v>128</v>
      </c>
      <c r="B1300" s="533">
        <v>4220</v>
      </c>
      <c r="C1300" s="534" t="s">
        <v>195</v>
      </c>
      <c r="D1300" s="535">
        <v>2850</v>
      </c>
      <c r="E1300" s="536" t="s">
        <v>128</v>
      </c>
      <c r="F1300" s="536" t="s">
        <v>128</v>
      </c>
    </row>
    <row r="1301" spans="1:6" s="537" customFormat="1">
      <c r="A1301" s="532" t="s">
        <v>128</v>
      </c>
      <c r="B1301" s="533">
        <v>4260</v>
      </c>
      <c r="C1301" s="534" t="s">
        <v>640</v>
      </c>
      <c r="D1301" s="535">
        <v>326650</v>
      </c>
      <c r="E1301" s="536" t="s">
        <v>128</v>
      </c>
      <c r="F1301" s="536" t="s">
        <v>128</v>
      </c>
    </row>
    <row r="1302" spans="1:6" s="537" customFormat="1">
      <c r="A1302" s="532" t="s">
        <v>128</v>
      </c>
      <c r="B1302" s="533">
        <v>4270</v>
      </c>
      <c r="C1302" s="534" t="s">
        <v>196</v>
      </c>
      <c r="D1302" s="535">
        <v>75470</v>
      </c>
      <c r="E1302" s="536" t="s">
        <v>128</v>
      </c>
      <c r="F1302" s="536" t="s">
        <v>128</v>
      </c>
    </row>
    <row r="1303" spans="1:6" s="537" customFormat="1">
      <c r="A1303" s="532" t="s">
        <v>128</v>
      </c>
      <c r="B1303" s="533">
        <v>4280</v>
      </c>
      <c r="C1303" s="534" t="s">
        <v>666</v>
      </c>
      <c r="D1303" s="535">
        <v>4870</v>
      </c>
      <c r="E1303" s="536" t="s">
        <v>128</v>
      </c>
      <c r="F1303" s="536" t="s">
        <v>128</v>
      </c>
    </row>
    <row r="1304" spans="1:6" s="537" customFormat="1">
      <c r="A1304" s="532" t="s">
        <v>128</v>
      </c>
      <c r="B1304" s="533">
        <v>4300</v>
      </c>
      <c r="C1304" s="534" t="s">
        <v>197</v>
      </c>
      <c r="D1304" s="535">
        <v>641901</v>
      </c>
      <c r="E1304" s="536" t="s">
        <v>128</v>
      </c>
      <c r="F1304" s="536" t="s">
        <v>128</v>
      </c>
    </row>
    <row r="1305" spans="1:6" s="537" customFormat="1">
      <c r="A1305" s="532" t="s">
        <v>128</v>
      </c>
      <c r="B1305" s="533">
        <v>4360</v>
      </c>
      <c r="C1305" s="534" t="s">
        <v>641</v>
      </c>
      <c r="D1305" s="535">
        <v>52502</v>
      </c>
      <c r="E1305" s="536" t="s">
        <v>128</v>
      </c>
      <c r="F1305" s="536" t="s">
        <v>128</v>
      </c>
    </row>
    <row r="1306" spans="1:6" s="537" customFormat="1">
      <c r="A1306" s="532" t="s">
        <v>128</v>
      </c>
      <c r="B1306" s="533">
        <v>4380</v>
      </c>
      <c r="C1306" s="534" t="s">
        <v>642</v>
      </c>
      <c r="D1306" s="535">
        <v>1000</v>
      </c>
      <c r="E1306" s="536" t="s">
        <v>128</v>
      </c>
      <c r="F1306" s="536" t="s">
        <v>128</v>
      </c>
    </row>
    <row r="1307" spans="1:6" s="537" customFormat="1">
      <c r="A1307" s="542" t="s">
        <v>128</v>
      </c>
      <c r="B1307" s="543">
        <v>4400</v>
      </c>
      <c r="C1307" s="544" t="s">
        <v>643</v>
      </c>
      <c r="D1307" s="545">
        <v>35380</v>
      </c>
      <c r="E1307" s="536" t="s">
        <v>128</v>
      </c>
      <c r="F1307" s="536" t="s">
        <v>128</v>
      </c>
    </row>
    <row r="1308" spans="1:6" s="537" customFormat="1">
      <c r="A1308" s="546" t="s">
        <v>128</v>
      </c>
      <c r="B1308" s="547">
        <v>4410</v>
      </c>
      <c r="C1308" s="548" t="s">
        <v>198</v>
      </c>
      <c r="D1308" s="549">
        <v>4600</v>
      </c>
      <c r="E1308" s="536" t="s">
        <v>128</v>
      </c>
      <c r="F1308" s="536" t="s">
        <v>128</v>
      </c>
    </row>
    <row r="1309" spans="1:6" s="537" customFormat="1">
      <c r="A1309" s="532" t="s">
        <v>128</v>
      </c>
      <c r="B1309" s="533">
        <v>4420</v>
      </c>
      <c r="C1309" s="534" t="s">
        <v>644</v>
      </c>
      <c r="D1309" s="535">
        <v>1200</v>
      </c>
      <c r="E1309" s="536" t="s">
        <v>128</v>
      </c>
      <c r="F1309" s="536" t="s">
        <v>128</v>
      </c>
    </row>
    <row r="1310" spans="1:6" s="537" customFormat="1">
      <c r="A1310" s="532" t="s">
        <v>128</v>
      </c>
      <c r="B1310" s="533">
        <v>4430</v>
      </c>
      <c r="C1310" s="534" t="s">
        <v>645</v>
      </c>
      <c r="D1310" s="535">
        <v>87934</v>
      </c>
      <c r="E1310" s="536" t="s">
        <v>128</v>
      </c>
      <c r="F1310" s="536" t="s">
        <v>128</v>
      </c>
    </row>
    <row r="1311" spans="1:6" s="537" customFormat="1">
      <c r="A1311" s="532" t="s">
        <v>128</v>
      </c>
      <c r="B1311" s="533">
        <v>4440</v>
      </c>
      <c r="C1311" s="534" t="s">
        <v>667</v>
      </c>
      <c r="D1311" s="535">
        <v>121340</v>
      </c>
      <c r="E1311" s="536" t="s">
        <v>128</v>
      </c>
      <c r="F1311" s="536" t="s">
        <v>128</v>
      </c>
    </row>
    <row r="1312" spans="1:6" s="537" customFormat="1">
      <c r="A1312" s="532" t="s">
        <v>128</v>
      </c>
      <c r="B1312" s="533">
        <v>4480</v>
      </c>
      <c r="C1312" s="534" t="s">
        <v>649</v>
      </c>
      <c r="D1312" s="535">
        <v>46490</v>
      </c>
      <c r="E1312" s="536" t="s">
        <v>128</v>
      </c>
      <c r="F1312" s="536" t="s">
        <v>128</v>
      </c>
    </row>
    <row r="1313" spans="1:6" s="537" customFormat="1">
      <c r="A1313" s="532" t="s">
        <v>128</v>
      </c>
      <c r="B1313" s="533">
        <v>4500</v>
      </c>
      <c r="C1313" s="534" t="s">
        <v>662</v>
      </c>
      <c r="D1313" s="535">
        <v>3700</v>
      </c>
      <c r="E1313" s="536" t="s">
        <v>128</v>
      </c>
      <c r="F1313" s="536" t="s">
        <v>128</v>
      </c>
    </row>
    <row r="1314" spans="1:6" s="537" customFormat="1">
      <c r="A1314" s="532" t="s">
        <v>128</v>
      </c>
      <c r="B1314" s="533">
        <v>4510</v>
      </c>
      <c r="C1314" s="534" t="s">
        <v>655</v>
      </c>
      <c r="D1314" s="535">
        <v>577</v>
      </c>
      <c r="E1314" s="536" t="s">
        <v>128</v>
      </c>
      <c r="F1314" s="536" t="s">
        <v>128</v>
      </c>
    </row>
    <row r="1315" spans="1:6" s="537" customFormat="1">
      <c r="A1315" s="532" t="s">
        <v>128</v>
      </c>
      <c r="B1315" s="533">
        <v>4520</v>
      </c>
      <c r="C1315" s="534" t="s">
        <v>656</v>
      </c>
      <c r="D1315" s="535">
        <v>1400</v>
      </c>
      <c r="E1315" s="536" t="s">
        <v>128</v>
      </c>
      <c r="F1315" s="536" t="s">
        <v>128</v>
      </c>
    </row>
    <row r="1316" spans="1:6" s="537" customFormat="1">
      <c r="A1316" s="532" t="s">
        <v>128</v>
      </c>
      <c r="B1316" s="533">
        <v>4700</v>
      </c>
      <c r="C1316" s="534" t="s">
        <v>646</v>
      </c>
      <c r="D1316" s="535">
        <v>11969</v>
      </c>
      <c r="E1316" s="536" t="s">
        <v>128</v>
      </c>
      <c r="F1316" s="536" t="s">
        <v>128</v>
      </c>
    </row>
    <row r="1317" spans="1:6" s="537" customFormat="1">
      <c r="A1317" s="532" t="s">
        <v>128</v>
      </c>
      <c r="B1317" s="533">
        <v>4710</v>
      </c>
      <c r="C1317" s="534" t="s">
        <v>204</v>
      </c>
      <c r="D1317" s="535">
        <v>43691</v>
      </c>
      <c r="E1317" s="536" t="s">
        <v>128</v>
      </c>
      <c r="F1317" s="536" t="s">
        <v>128</v>
      </c>
    </row>
    <row r="1318" spans="1:6" s="537" customFormat="1">
      <c r="A1318" s="532" t="s">
        <v>128</v>
      </c>
      <c r="B1318" s="533">
        <v>6050</v>
      </c>
      <c r="C1318" s="534" t="s">
        <v>203</v>
      </c>
      <c r="D1318" s="535">
        <v>77761</v>
      </c>
      <c r="E1318" s="536" t="s">
        <v>128</v>
      </c>
      <c r="F1318" s="536" t="s">
        <v>128</v>
      </c>
    </row>
    <row r="1319" spans="1:6" s="537" customFormat="1" ht="12.75" customHeight="1">
      <c r="A1319" s="532" t="s">
        <v>128</v>
      </c>
      <c r="B1319" s="533">
        <v>6060</v>
      </c>
      <c r="C1319" s="534" t="s">
        <v>263</v>
      </c>
      <c r="D1319" s="535">
        <v>15252</v>
      </c>
      <c r="E1319" s="536" t="s">
        <v>128</v>
      </c>
      <c r="F1319" s="536" t="s">
        <v>128</v>
      </c>
    </row>
    <row r="1320" spans="1:6" s="527" customFormat="1" ht="15" customHeight="1">
      <c r="A1320" s="522">
        <v>926</v>
      </c>
      <c r="B1320" s="523" t="s">
        <v>128</v>
      </c>
      <c r="C1320" s="524" t="s">
        <v>492</v>
      </c>
      <c r="D1320" s="525">
        <f>D1321</f>
        <v>22800000</v>
      </c>
      <c r="E1320" s="526" t="s">
        <v>128</v>
      </c>
      <c r="F1320" s="526" t="s">
        <v>128</v>
      </c>
    </row>
    <row r="1321" spans="1:6" s="527" customFormat="1" ht="15" customHeight="1">
      <c r="A1321" s="528">
        <v>92605</v>
      </c>
      <c r="B1321" s="529" t="s">
        <v>128</v>
      </c>
      <c r="C1321" s="530" t="s">
        <v>406</v>
      </c>
      <c r="D1321" s="531">
        <f>SUM(D1322:D1334)</f>
        <v>22800000</v>
      </c>
      <c r="E1321" s="526" t="s">
        <v>128</v>
      </c>
      <c r="F1321" s="526" t="s">
        <v>128</v>
      </c>
    </row>
    <row r="1322" spans="1:6" s="507" customFormat="1" ht="40.5" customHeight="1">
      <c r="A1322" s="502" t="s">
        <v>128</v>
      </c>
      <c r="B1322" s="503">
        <v>2360</v>
      </c>
      <c r="C1322" s="504" t="s">
        <v>648</v>
      </c>
      <c r="D1322" s="505">
        <v>3200000</v>
      </c>
      <c r="E1322" s="506" t="s">
        <v>128</v>
      </c>
      <c r="F1322" s="506" t="s">
        <v>128</v>
      </c>
    </row>
    <row r="1323" spans="1:6" s="507" customFormat="1" ht="28.5" customHeight="1">
      <c r="A1323" s="502" t="s">
        <v>128</v>
      </c>
      <c r="B1323" s="503">
        <v>2820</v>
      </c>
      <c r="C1323" s="504" t="s">
        <v>689</v>
      </c>
      <c r="D1323" s="505">
        <v>4600000</v>
      </c>
      <c r="E1323" s="506" t="s">
        <v>128</v>
      </c>
      <c r="F1323" s="506" t="s">
        <v>128</v>
      </c>
    </row>
    <row r="1324" spans="1:6" s="507" customFormat="1" ht="28.5" customHeight="1">
      <c r="A1324" s="502" t="s">
        <v>128</v>
      </c>
      <c r="B1324" s="503">
        <v>2830</v>
      </c>
      <c r="C1324" s="504" t="s">
        <v>653</v>
      </c>
      <c r="D1324" s="505">
        <v>50000</v>
      </c>
      <c r="E1324" s="506" t="s">
        <v>128</v>
      </c>
      <c r="F1324" s="506" t="s">
        <v>128</v>
      </c>
    </row>
    <row r="1325" spans="1:6" s="537" customFormat="1" ht="14.25" customHeight="1">
      <c r="A1325" s="532" t="s">
        <v>128</v>
      </c>
      <c r="B1325" s="533">
        <v>3040</v>
      </c>
      <c r="C1325" s="534" t="s">
        <v>671</v>
      </c>
      <c r="D1325" s="535">
        <v>610000</v>
      </c>
      <c r="E1325" s="536" t="s">
        <v>128</v>
      </c>
      <c r="F1325" s="536" t="s">
        <v>128</v>
      </c>
    </row>
    <row r="1326" spans="1:6" s="537" customFormat="1" ht="14.25" customHeight="1">
      <c r="A1326" s="532" t="s">
        <v>128</v>
      </c>
      <c r="B1326" s="533">
        <v>4170</v>
      </c>
      <c r="C1326" s="534" t="s">
        <v>192</v>
      </c>
      <c r="D1326" s="535">
        <v>5000</v>
      </c>
      <c r="E1326" s="536" t="s">
        <v>128</v>
      </c>
      <c r="F1326" s="536" t="s">
        <v>128</v>
      </c>
    </row>
    <row r="1327" spans="1:6" s="537" customFormat="1" ht="14.25" customHeight="1">
      <c r="A1327" s="532" t="s">
        <v>128</v>
      </c>
      <c r="B1327" s="533">
        <v>4190</v>
      </c>
      <c r="C1327" s="534" t="s">
        <v>193</v>
      </c>
      <c r="D1327" s="535">
        <v>20000</v>
      </c>
      <c r="E1327" s="536" t="s">
        <v>128</v>
      </c>
      <c r="F1327" s="536" t="s">
        <v>128</v>
      </c>
    </row>
    <row r="1328" spans="1:6" s="537" customFormat="1" ht="14.25" customHeight="1">
      <c r="A1328" s="532" t="s">
        <v>128</v>
      </c>
      <c r="B1328" s="533">
        <v>4210</v>
      </c>
      <c r="C1328" s="534" t="s">
        <v>194</v>
      </c>
      <c r="D1328" s="535">
        <v>110000</v>
      </c>
      <c r="E1328" s="536" t="s">
        <v>128</v>
      </c>
      <c r="F1328" s="536" t="s">
        <v>128</v>
      </c>
    </row>
    <row r="1329" spans="1:6" s="537" customFormat="1" ht="14.25" customHeight="1">
      <c r="A1329" s="532" t="s">
        <v>128</v>
      </c>
      <c r="B1329" s="533">
        <v>4220</v>
      </c>
      <c r="C1329" s="534" t="s">
        <v>195</v>
      </c>
      <c r="D1329" s="535">
        <v>2000</v>
      </c>
      <c r="E1329" s="536" t="s">
        <v>128</v>
      </c>
      <c r="F1329" s="536" t="s">
        <v>128</v>
      </c>
    </row>
    <row r="1330" spans="1:6" s="537" customFormat="1" ht="14.25" customHeight="1">
      <c r="A1330" s="532" t="s">
        <v>128</v>
      </c>
      <c r="B1330" s="533">
        <v>4300</v>
      </c>
      <c r="C1330" s="534" t="s">
        <v>197</v>
      </c>
      <c r="D1330" s="535">
        <v>3701000</v>
      </c>
      <c r="E1330" s="536" t="s">
        <v>128</v>
      </c>
      <c r="F1330" s="536" t="s">
        <v>128</v>
      </c>
    </row>
    <row r="1331" spans="1:6" s="537" customFormat="1" ht="14.25" customHeight="1">
      <c r="A1331" s="532" t="s">
        <v>128</v>
      </c>
      <c r="B1331" s="533">
        <v>4700</v>
      </c>
      <c r="C1331" s="534" t="s">
        <v>646</v>
      </c>
      <c r="D1331" s="535">
        <v>2000</v>
      </c>
      <c r="E1331" s="536" t="s">
        <v>128</v>
      </c>
      <c r="F1331" s="536" t="s">
        <v>128</v>
      </c>
    </row>
    <row r="1332" spans="1:6" s="507" customFormat="1" ht="27.75" customHeight="1">
      <c r="A1332" s="502" t="s">
        <v>128</v>
      </c>
      <c r="B1332" s="503">
        <v>6220</v>
      </c>
      <c r="C1332" s="504" t="s">
        <v>260</v>
      </c>
      <c r="D1332" s="505">
        <v>1000000</v>
      </c>
      <c r="E1332" s="506" t="s">
        <v>128</v>
      </c>
      <c r="F1332" s="506" t="s">
        <v>128</v>
      </c>
    </row>
    <row r="1333" spans="1:6" s="507" customFormat="1" ht="29.25" customHeight="1">
      <c r="A1333" s="502" t="s">
        <v>128</v>
      </c>
      <c r="B1333" s="503">
        <v>6230</v>
      </c>
      <c r="C1333" s="504" t="s">
        <v>200</v>
      </c>
      <c r="D1333" s="505">
        <v>300000</v>
      </c>
      <c r="E1333" s="506" t="s">
        <v>128</v>
      </c>
      <c r="F1333" s="506" t="s">
        <v>128</v>
      </c>
    </row>
    <row r="1334" spans="1:6" s="507" customFormat="1" ht="29.25" customHeight="1">
      <c r="A1334" s="512" t="s">
        <v>128</v>
      </c>
      <c r="B1334" s="513">
        <v>6300</v>
      </c>
      <c r="C1334" s="514" t="s">
        <v>657</v>
      </c>
      <c r="D1334" s="515">
        <v>9200000</v>
      </c>
      <c r="E1334" s="506" t="s">
        <v>128</v>
      </c>
      <c r="F1334" s="506" t="s">
        <v>128</v>
      </c>
    </row>
  </sheetData>
  <sheetProtection algorithmName="SHA-512" hashValue="WjtUuwsgfGtMFxIF85Vfpb1U3QBWnH0I8DReG22jNqFiAnpjrSjWSeCtuycjbYBDocnsWszQJNuxNuO2aytSQA==" saltValue="+bto7hxhCqcO1rR0Mr5BbQ==" spinCount="100000" sheet="1" objects="1" scenarios="1"/>
  <mergeCells count="5">
    <mergeCell ref="C1:D1"/>
    <mergeCell ref="C2:D2"/>
    <mergeCell ref="C3:D3"/>
    <mergeCell ref="A5:D5"/>
    <mergeCell ref="A6:D6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5"/>
  <sheetViews>
    <sheetView view="pageBreakPreview" zoomScaleSheetLayoutView="100" workbookViewId="0">
      <selection activeCell="C20" sqref="C20"/>
    </sheetView>
  </sheetViews>
  <sheetFormatPr defaultColWidth="16.75" defaultRowHeight="12.75"/>
  <cols>
    <col min="1" max="1" width="5.75" style="561" customWidth="1"/>
    <col min="2" max="2" width="5.875" style="561" customWidth="1"/>
    <col min="3" max="3" width="55.875" style="561" customWidth="1"/>
    <col min="4" max="4" width="32.25" style="561" customWidth="1"/>
    <col min="5" max="5" width="16.375" style="561" customWidth="1"/>
    <col min="6" max="250" width="10.375" style="561" customWidth="1"/>
    <col min="251" max="251" width="5.75" style="561" customWidth="1"/>
    <col min="252" max="252" width="5.875" style="561" customWidth="1"/>
    <col min="253" max="253" width="34.125" style="561" customWidth="1"/>
    <col min="254" max="254" width="16.25" style="561" customWidth="1"/>
    <col min="255" max="256" width="16.75" style="561"/>
    <col min="257" max="257" width="5.75" style="561" customWidth="1"/>
    <col min="258" max="258" width="5.875" style="561" customWidth="1"/>
    <col min="259" max="259" width="55.875" style="561" customWidth="1"/>
    <col min="260" max="260" width="32.25" style="561" customWidth="1"/>
    <col min="261" max="261" width="16.375" style="561" customWidth="1"/>
    <col min="262" max="506" width="10.375" style="561" customWidth="1"/>
    <col min="507" max="507" width="5.75" style="561" customWidth="1"/>
    <col min="508" max="508" width="5.875" style="561" customWidth="1"/>
    <col min="509" max="509" width="34.125" style="561" customWidth="1"/>
    <col min="510" max="510" width="16.25" style="561" customWidth="1"/>
    <col min="511" max="512" width="16.75" style="561"/>
    <col min="513" max="513" width="5.75" style="561" customWidth="1"/>
    <col min="514" max="514" width="5.875" style="561" customWidth="1"/>
    <col min="515" max="515" width="55.875" style="561" customWidth="1"/>
    <col min="516" max="516" width="32.25" style="561" customWidth="1"/>
    <col min="517" max="517" width="16.375" style="561" customWidth="1"/>
    <col min="518" max="762" width="10.375" style="561" customWidth="1"/>
    <col min="763" max="763" width="5.75" style="561" customWidth="1"/>
    <col min="764" max="764" width="5.875" style="561" customWidth="1"/>
    <col min="765" max="765" width="34.125" style="561" customWidth="1"/>
    <col min="766" max="766" width="16.25" style="561" customWidth="1"/>
    <col min="767" max="768" width="16.75" style="561"/>
    <col min="769" max="769" width="5.75" style="561" customWidth="1"/>
    <col min="770" max="770" width="5.875" style="561" customWidth="1"/>
    <col min="771" max="771" width="55.875" style="561" customWidth="1"/>
    <col min="772" max="772" width="32.25" style="561" customWidth="1"/>
    <col min="773" max="773" width="16.375" style="561" customWidth="1"/>
    <col min="774" max="1018" width="10.375" style="561" customWidth="1"/>
    <col min="1019" max="1019" width="5.75" style="561" customWidth="1"/>
    <col min="1020" max="1020" width="5.875" style="561" customWidth="1"/>
    <col min="1021" max="1021" width="34.125" style="561" customWidth="1"/>
    <col min="1022" max="1022" width="16.25" style="561" customWidth="1"/>
    <col min="1023" max="1024" width="16.75" style="561"/>
    <col min="1025" max="1025" width="5.75" style="561" customWidth="1"/>
    <col min="1026" max="1026" width="5.875" style="561" customWidth="1"/>
    <col min="1027" max="1027" width="55.875" style="561" customWidth="1"/>
    <col min="1028" max="1028" width="32.25" style="561" customWidth="1"/>
    <col min="1029" max="1029" width="16.375" style="561" customWidth="1"/>
    <col min="1030" max="1274" width="10.375" style="561" customWidth="1"/>
    <col min="1275" max="1275" width="5.75" style="561" customWidth="1"/>
    <col min="1276" max="1276" width="5.875" style="561" customWidth="1"/>
    <col min="1277" max="1277" width="34.125" style="561" customWidth="1"/>
    <col min="1278" max="1278" width="16.25" style="561" customWidth="1"/>
    <col min="1279" max="1280" width="16.75" style="561"/>
    <col min="1281" max="1281" width="5.75" style="561" customWidth="1"/>
    <col min="1282" max="1282" width="5.875" style="561" customWidth="1"/>
    <col min="1283" max="1283" width="55.875" style="561" customWidth="1"/>
    <col min="1284" max="1284" width="32.25" style="561" customWidth="1"/>
    <col min="1285" max="1285" width="16.375" style="561" customWidth="1"/>
    <col min="1286" max="1530" width="10.375" style="561" customWidth="1"/>
    <col min="1531" max="1531" width="5.75" style="561" customWidth="1"/>
    <col min="1532" max="1532" width="5.875" style="561" customWidth="1"/>
    <col min="1533" max="1533" width="34.125" style="561" customWidth="1"/>
    <col min="1534" max="1534" width="16.25" style="561" customWidth="1"/>
    <col min="1535" max="1536" width="16.75" style="561"/>
    <col min="1537" max="1537" width="5.75" style="561" customWidth="1"/>
    <col min="1538" max="1538" width="5.875" style="561" customWidth="1"/>
    <col min="1539" max="1539" width="55.875" style="561" customWidth="1"/>
    <col min="1540" max="1540" width="32.25" style="561" customWidth="1"/>
    <col min="1541" max="1541" width="16.375" style="561" customWidth="1"/>
    <col min="1542" max="1786" width="10.375" style="561" customWidth="1"/>
    <col min="1787" max="1787" width="5.75" style="561" customWidth="1"/>
    <col min="1788" max="1788" width="5.875" style="561" customWidth="1"/>
    <col min="1789" max="1789" width="34.125" style="561" customWidth="1"/>
    <col min="1790" max="1790" width="16.25" style="561" customWidth="1"/>
    <col min="1791" max="1792" width="16.75" style="561"/>
    <col min="1793" max="1793" width="5.75" style="561" customWidth="1"/>
    <col min="1794" max="1794" width="5.875" style="561" customWidth="1"/>
    <col min="1795" max="1795" width="55.875" style="561" customWidth="1"/>
    <col min="1796" max="1796" width="32.25" style="561" customWidth="1"/>
    <col min="1797" max="1797" width="16.375" style="561" customWidth="1"/>
    <col min="1798" max="2042" width="10.375" style="561" customWidth="1"/>
    <col min="2043" max="2043" width="5.75" style="561" customWidth="1"/>
    <col min="2044" max="2044" width="5.875" style="561" customWidth="1"/>
    <col min="2045" max="2045" width="34.125" style="561" customWidth="1"/>
    <col min="2046" max="2046" width="16.25" style="561" customWidth="1"/>
    <col min="2047" max="2048" width="16.75" style="561"/>
    <col min="2049" max="2049" width="5.75" style="561" customWidth="1"/>
    <col min="2050" max="2050" width="5.875" style="561" customWidth="1"/>
    <col min="2051" max="2051" width="55.875" style="561" customWidth="1"/>
    <col min="2052" max="2052" width="32.25" style="561" customWidth="1"/>
    <col min="2053" max="2053" width="16.375" style="561" customWidth="1"/>
    <col min="2054" max="2298" width="10.375" style="561" customWidth="1"/>
    <col min="2299" max="2299" width="5.75" style="561" customWidth="1"/>
    <col min="2300" max="2300" width="5.875" style="561" customWidth="1"/>
    <col min="2301" max="2301" width="34.125" style="561" customWidth="1"/>
    <col min="2302" max="2302" width="16.25" style="561" customWidth="1"/>
    <col min="2303" max="2304" width="16.75" style="561"/>
    <col min="2305" max="2305" width="5.75" style="561" customWidth="1"/>
    <col min="2306" max="2306" width="5.875" style="561" customWidth="1"/>
    <col min="2307" max="2307" width="55.875" style="561" customWidth="1"/>
    <col min="2308" max="2308" width="32.25" style="561" customWidth="1"/>
    <col min="2309" max="2309" width="16.375" style="561" customWidth="1"/>
    <col min="2310" max="2554" width="10.375" style="561" customWidth="1"/>
    <col min="2555" max="2555" width="5.75" style="561" customWidth="1"/>
    <col min="2556" max="2556" width="5.875" style="561" customWidth="1"/>
    <col min="2557" max="2557" width="34.125" style="561" customWidth="1"/>
    <col min="2558" max="2558" width="16.25" style="561" customWidth="1"/>
    <col min="2559" max="2560" width="16.75" style="561"/>
    <col min="2561" max="2561" width="5.75" style="561" customWidth="1"/>
    <col min="2562" max="2562" width="5.875" style="561" customWidth="1"/>
    <col min="2563" max="2563" width="55.875" style="561" customWidth="1"/>
    <col min="2564" max="2564" width="32.25" style="561" customWidth="1"/>
    <col min="2565" max="2565" width="16.375" style="561" customWidth="1"/>
    <col min="2566" max="2810" width="10.375" style="561" customWidth="1"/>
    <col min="2811" max="2811" width="5.75" style="561" customWidth="1"/>
    <col min="2812" max="2812" width="5.875" style="561" customWidth="1"/>
    <col min="2813" max="2813" width="34.125" style="561" customWidth="1"/>
    <col min="2814" max="2814" width="16.25" style="561" customWidth="1"/>
    <col min="2815" max="2816" width="16.75" style="561"/>
    <col min="2817" max="2817" width="5.75" style="561" customWidth="1"/>
    <col min="2818" max="2818" width="5.875" style="561" customWidth="1"/>
    <col min="2819" max="2819" width="55.875" style="561" customWidth="1"/>
    <col min="2820" max="2820" width="32.25" style="561" customWidth="1"/>
    <col min="2821" max="2821" width="16.375" style="561" customWidth="1"/>
    <col min="2822" max="3066" width="10.375" style="561" customWidth="1"/>
    <col min="3067" max="3067" width="5.75" style="561" customWidth="1"/>
    <col min="3068" max="3068" width="5.875" style="561" customWidth="1"/>
    <col min="3069" max="3069" width="34.125" style="561" customWidth="1"/>
    <col min="3070" max="3070" width="16.25" style="561" customWidth="1"/>
    <col min="3071" max="3072" width="16.75" style="561"/>
    <col min="3073" max="3073" width="5.75" style="561" customWidth="1"/>
    <col min="3074" max="3074" width="5.875" style="561" customWidth="1"/>
    <col min="3075" max="3075" width="55.875" style="561" customWidth="1"/>
    <col min="3076" max="3076" width="32.25" style="561" customWidth="1"/>
    <col min="3077" max="3077" width="16.375" style="561" customWidth="1"/>
    <col min="3078" max="3322" width="10.375" style="561" customWidth="1"/>
    <col min="3323" max="3323" width="5.75" style="561" customWidth="1"/>
    <col min="3324" max="3324" width="5.875" style="561" customWidth="1"/>
    <col min="3325" max="3325" width="34.125" style="561" customWidth="1"/>
    <col min="3326" max="3326" width="16.25" style="561" customWidth="1"/>
    <col min="3327" max="3328" width="16.75" style="561"/>
    <col min="3329" max="3329" width="5.75" style="561" customWidth="1"/>
    <col min="3330" max="3330" width="5.875" style="561" customWidth="1"/>
    <col min="3331" max="3331" width="55.875" style="561" customWidth="1"/>
    <col min="3332" max="3332" width="32.25" style="561" customWidth="1"/>
    <col min="3333" max="3333" width="16.375" style="561" customWidth="1"/>
    <col min="3334" max="3578" width="10.375" style="561" customWidth="1"/>
    <col min="3579" max="3579" width="5.75" style="561" customWidth="1"/>
    <col min="3580" max="3580" width="5.875" style="561" customWidth="1"/>
    <col min="3581" max="3581" width="34.125" style="561" customWidth="1"/>
    <col min="3582" max="3582" width="16.25" style="561" customWidth="1"/>
    <col min="3583" max="3584" width="16.75" style="561"/>
    <col min="3585" max="3585" width="5.75" style="561" customWidth="1"/>
    <col min="3586" max="3586" width="5.875" style="561" customWidth="1"/>
    <col min="3587" max="3587" width="55.875" style="561" customWidth="1"/>
    <col min="3588" max="3588" width="32.25" style="561" customWidth="1"/>
    <col min="3589" max="3589" width="16.375" style="561" customWidth="1"/>
    <col min="3590" max="3834" width="10.375" style="561" customWidth="1"/>
    <col min="3835" max="3835" width="5.75" style="561" customWidth="1"/>
    <col min="3836" max="3836" width="5.875" style="561" customWidth="1"/>
    <col min="3837" max="3837" width="34.125" style="561" customWidth="1"/>
    <col min="3838" max="3838" width="16.25" style="561" customWidth="1"/>
    <col min="3839" max="3840" width="16.75" style="561"/>
    <col min="3841" max="3841" width="5.75" style="561" customWidth="1"/>
    <col min="3842" max="3842" width="5.875" style="561" customWidth="1"/>
    <col min="3843" max="3843" width="55.875" style="561" customWidth="1"/>
    <col min="3844" max="3844" width="32.25" style="561" customWidth="1"/>
    <col min="3845" max="3845" width="16.375" style="561" customWidth="1"/>
    <col min="3846" max="4090" width="10.375" style="561" customWidth="1"/>
    <col min="4091" max="4091" width="5.75" style="561" customWidth="1"/>
    <col min="4092" max="4092" width="5.875" style="561" customWidth="1"/>
    <col min="4093" max="4093" width="34.125" style="561" customWidth="1"/>
    <col min="4094" max="4094" width="16.25" style="561" customWidth="1"/>
    <col min="4095" max="4096" width="16.75" style="561"/>
    <col min="4097" max="4097" width="5.75" style="561" customWidth="1"/>
    <col min="4098" max="4098" width="5.875" style="561" customWidth="1"/>
    <col min="4099" max="4099" width="55.875" style="561" customWidth="1"/>
    <col min="4100" max="4100" width="32.25" style="561" customWidth="1"/>
    <col min="4101" max="4101" width="16.375" style="561" customWidth="1"/>
    <col min="4102" max="4346" width="10.375" style="561" customWidth="1"/>
    <col min="4347" max="4347" width="5.75" style="561" customWidth="1"/>
    <col min="4348" max="4348" width="5.875" style="561" customWidth="1"/>
    <col min="4349" max="4349" width="34.125" style="561" customWidth="1"/>
    <col min="4350" max="4350" width="16.25" style="561" customWidth="1"/>
    <col min="4351" max="4352" width="16.75" style="561"/>
    <col min="4353" max="4353" width="5.75" style="561" customWidth="1"/>
    <col min="4354" max="4354" width="5.875" style="561" customWidth="1"/>
    <col min="4355" max="4355" width="55.875" style="561" customWidth="1"/>
    <col min="4356" max="4356" width="32.25" style="561" customWidth="1"/>
    <col min="4357" max="4357" width="16.375" style="561" customWidth="1"/>
    <col min="4358" max="4602" width="10.375" style="561" customWidth="1"/>
    <col min="4603" max="4603" width="5.75" style="561" customWidth="1"/>
    <col min="4604" max="4604" width="5.875" style="561" customWidth="1"/>
    <col min="4605" max="4605" width="34.125" style="561" customWidth="1"/>
    <col min="4606" max="4606" width="16.25" style="561" customWidth="1"/>
    <col min="4607" max="4608" width="16.75" style="561"/>
    <col min="4609" max="4609" width="5.75" style="561" customWidth="1"/>
    <col min="4610" max="4610" width="5.875" style="561" customWidth="1"/>
    <col min="4611" max="4611" width="55.875" style="561" customWidth="1"/>
    <col min="4612" max="4612" width="32.25" style="561" customWidth="1"/>
    <col min="4613" max="4613" width="16.375" style="561" customWidth="1"/>
    <col min="4614" max="4858" width="10.375" style="561" customWidth="1"/>
    <col min="4859" max="4859" width="5.75" style="561" customWidth="1"/>
    <col min="4860" max="4860" width="5.875" style="561" customWidth="1"/>
    <col min="4861" max="4861" width="34.125" style="561" customWidth="1"/>
    <col min="4862" max="4862" width="16.25" style="561" customWidth="1"/>
    <col min="4863" max="4864" width="16.75" style="561"/>
    <col min="4865" max="4865" width="5.75" style="561" customWidth="1"/>
    <col min="4866" max="4866" width="5.875" style="561" customWidth="1"/>
    <col min="4867" max="4867" width="55.875" style="561" customWidth="1"/>
    <col min="4868" max="4868" width="32.25" style="561" customWidth="1"/>
    <col min="4869" max="4869" width="16.375" style="561" customWidth="1"/>
    <col min="4870" max="5114" width="10.375" style="561" customWidth="1"/>
    <col min="5115" max="5115" width="5.75" style="561" customWidth="1"/>
    <col min="5116" max="5116" width="5.875" style="561" customWidth="1"/>
    <col min="5117" max="5117" width="34.125" style="561" customWidth="1"/>
    <col min="5118" max="5118" width="16.25" style="561" customWidth="1"/>
    <col min="5119" max="5120" width="16.75" style="561"/>
    <col min="5121" max="5121" width="5.75" style="561" customWidth="1"/>
    <col min="5122" max="5122" width="5.875" style="561" customWidth="1"/>
    <col min="5123" max="5123" width="55.875" style="561" customWidth="1"/>
    <col min="5124" max="5124" width="32.25" style="561" customWidth="1"/>
    <col min="5125" max="5125" width="16.375" style="561" customWidth="1"/>
    <col min="5126" max="5370" width="10.375" style="561" customWidth="1"/>
    <col min="5371" max="5371" width="5.75" style="561" customWidth="1"/>
    <col min="5372" max="5372" width="5.875" style="561" customWidth="1"/>
    <col min="5373" max="5373" width="34.125" style="561" customWidth="1"/>
    <col min="5374" max="5374" width="16.25" style="561" customWidth="1"/>
    <col min="5375" max="5376" width="16.75" style="561"/>
    <col min="5377" max="5377" width="5.75" style="561" customWidth="1"/>
    <col min="5378" max="5378" width="5.875" style="561" customWidth="1"/>
    <col min="5379" max="5379" width="55.875" style="561" customWidth="1"/>
    <col min="5380" max="5380" width="32.25" style="561" customWidth="1"/>
    <col min="5381" max="5381" width="16.375" style="561" customWidth="1"/>
    <col min="5382" max="5626" width="10.375" style="561" customWidth="1"/>
    <col min="5627" max="5627" width="5.75" style="561" customWidth="1"/>
    <col min="5628" max="5628" width="5.875" style="561" customWidth="1"/>
    <col min="5629" max="5629" width="34.125" style="561" customWidth="1"/>
    <col min="5630" max="5630" width="16.25" style="561" customWidth="1"/>
    <col min="5631" max="5632" width="16.75" style="561"/>
    <col min="5633" max="5633" width="5.75" style="561" customWidth="1"/>
    <col min="5634" max="5634" width="5.875" style="561" customWidth="1"/>
    <col min="5635" max="5635" width="55.875" style="561" customWidth="1"/>
    <col min="5636" max="5636" width="32.25" style="561" customWidth="1"/>
    <col min="5637" max="5637" width="16.375" style="561" customWidth="1"/>
    <col min="5638" max="5882" width="10.375" style="561" customWidth="1"/>
    <col min="5883" max="5883" width="5.75" style="561" customWidth="1"/>
    <col min="5884" max="5884" width="5.875" style="561" customWidth="1"/>
    <col min="5885" max="5885" width="34.125" style="561" customWidth="1"/>
    <col min="5886" max="5886" width="16.25" style="561" customWidth="1"/>
    <col min="5887" max="5888" width="16.75" style="561"/>
    <col min="5889" max="5889" width="5.75" style="561" customWidth="1"/>
    <col min="5890" max="5890" width="5.875" style="561" customWidth="1"/>
    <col min="5891" max="5891" width="55.875" style="561" customWidth="1"/>
    <col min="5892" max="5892" width="32.25" style="561" customWidth="1"/>
    <col min="5893" max="5893" width="16.375" style="561" customWidth="1"/>
    <col min="5894" max="6138" width="10.375" style="561" customWidth="1"/>
    <col min="6139" max="6139" width="5.75" style="561" customWidth="1"/>
    <col min="6140" max="6140" width="5.875" style="561" customWidth="1"/>
    <col min="6141" max="6141" width="34.125" style="561" customWidth="1"/>
    <col min="6142" max="6142" width="16.25" style="561" customWidth="1"/>
    <col min="6143" max="6144" width="16.75" style="561"/>
    <col min="6145" max="6145" width="5.75" style="561" customWidth="1"/>
    <col min="6146" max="6146" width="5.875" style="561" customWidth="1"/>
    <col min="6147" max="6147" width="55.875" style="561" customWidth="1"/>
    <col min="6148" max="6148" width="32.25" style="561" customWidth="1"/>
    <col min="6149" max="6149" width="16.375" style="561" customWidth="1"/>
    <col min="6150" max="6394" width="10.375" style="561" customWidth="1"/>
    <col min="6395" max="6395" width="5.75" style="561" customWidth="1"/>
    <col min="6396" max="6396" width="5.875" style="561" customWidth="1"/>
    <col min="6397" max="6397" width="34.125" style="561" customWidth="1"/>
    <col min="6398" max="6398" width="16.25" style="561" customWidth="1"/>
    <col min="6399" max="6400" width="16.75" style="561"/>
    <col min="6401" max="6401" width="5.75" style="561" customWidth="1"/>
    <col min="6402" max="6402" width="5.875" style="561" customWidth="1"/>
    <col min="6403" max="6403" width="55.875" style="561" customWidth="1"/>
    <col min="6404" max="6404" width="32.25" style="561" customWidth="1"/>
    <col min="6405" max="6405" width="16.375" style="561" customWidth="1"/>
    <col min="6406" max="6650" width="10.375" style="561" customWidth="1"/>
    <col min="6651" max="6651" width="5.75" style="561" customWidth="1"/>
    <col min="6652" max="6652" width="5.875" style="561" customWidth="1"/>
    <col min="6653" max="6653" width="34.125" style="561" customWidth="1"/>
    <col min="6654" max="6654" width="16.25" style="561" customWidth="1"/>
    <col min="6655" max="6656" width="16.75" style="561"/>
    <col min="6657" max="6657" width="5.75" style="561" customWidth="1"/>
    <col min="6658" max="6658" width="5.875" style="561" customWidth="1"/>
    <col min="6659" max="6659" width="55.875" style="561" customWidth="1"/>
    <col min="6660" max="6660" width="32.25" style="561" customWidth="1"/>
    <col min="6661" max="6661" width="16.375" style="561" customWidth="1"/>
    <col min="6662" max="6906" width="10.375" style="561" customWidth="1"/>
    <col min="6907" max="6907" width="5.75" style="561" customWidth="1"/>
    <col min="6908" max="6908" width="5.875" style="561" customWidth="1"/>
    <col min="6909" max="6909" width="34.125" style="561" customWidth="1"/>
    <col min="6910" max="6910" width="16.25" style="561" customWidth="1"/>
    <col min="6911" max="6912" width="16.75" style="561"/>
    <col min="6913" max="6913" width="5.75" style="561" customWidth="1"/>
    <col min="6914" max="6914" width="5.875" style="561" customWidth="1"/>
    <col min="6915" max="6915" width="55.875" style="561" customWidth="1"/>
    <col min="6916" max="6916" width="32.25" style="561" customWidth="1"/>
    <col min="6917" max="6917" width="16.375" style="561" customWidth="1"/>
    <col min="6918" max="7162" width="10.375" style="561" customWidth="1"/>
    <col min="7163" max="7163" width="5.75" style="561" customWidth="1"/>
    <col min="7164" max="7164" width="5.875" style="561" customWidth="1"/>
    <col min="7165" max="7165" width="34.125" style="561" customWidth="1"/>
    <col min="7166" max="7166" width="16.25" style="561" customWidth="1"/>
    <col min="7167" max="7168" width="16.75" style="561"/>
    <col min="7169" max="7169" width="5.75" style="561" customWidth="1"/>
    <col min="7170" max="7170" width="5.875" style="561" customWidth="1"/>
    <col min="7171" max="7171" width="55.875" style="561" customWidth="1"/>
    <col min="7172" max="7172" width="32.25" style="561" customWidth="1"/>
    <col min="7173" max="7173" width="16.375" style="561" customWidth="1"/>
    <col min="7174" max="7418" width="10.375" style="561" customWidth="1"/>
    <col min="7419" max="7419" width="5.75" style="561" customWidth="1"/>
    <col min="7420" max="7420" width="5.875" style="561" customWidth="1"/>
    <col min="7421" max="7421" width="34.125" style="561" customWidth="1"/>
    <col min="7422" max="7422" width="16.25" style="561" customWidth="1"/>
    <col min="7423" max="7424" width="16.75" style="561"/>
    <col min="7425" max="7425" width="5.75" style="561" customWidth="1"/>
    <col min="7426" max="7426" width="5.875" style="561" customWidth="1"/>
    <col min="7427" max="7427" width="55.875" style="561" customWidth="1"/>
    <col min="7428" max="7428" width="32.25" style="561" customWidth="1"/>
    <col min="7429" max="7429" width="16.375" style="561" customWidth="1"/>
    <col min="7430" max="7674" width="10.375" style="561" customWidth="1"/>
    <col min="7675" max="7675" width="5.75" style="561" customWidth="1"/>
    <col min="7676" max="7676" width="5.875" style="561" customWidth="1"/>
    <col min="7677" max="7677" width="34.125" style="561" customWidth="1"/>
    <col min="7678" max="7678" width="16.25" style="561" customWidth="1"/>
    <col min="7679" max="7680" width="16.75" style="561"/>
    <col min="7681" max="7681" width="5.75" style="561" customWidth="1"/>
    <col min="7682" max="7682" width="5.875" style="561" customWidth="1"/>
    <col min="7683" max="7683" width="55.875" style="561" customWidth="1"/>
    <col min="7684" max="7684" width="32.25" style="561" customWidth="1"/>
    <col min="7685" max="7685" width="16.375" style="561" customWidth="1"/>
    <col min="7686" max="7930" width="10.375" style="561" customWidth="1"/>
    <col min="7931" max="7931" width="5.75" style="561" customWidth="1"/>
    <col min="7932" max="7932" width="5.875" style="561" customWidth="1"/>
    <col min="7933" max="7933" width="34.125" style="561" customWidth="1"/>
    <col min="7934" max="7934" width="16.25" style="561" customWidth="1"/>
    <col min="7935" max="7936" width="16.75" style="561"/>
    <col min="7937" max="7937" width="5.75" style="561" customWidth="1"/>
    <col min="7938" max="7938" width="5.875" style="561" customWidth="1"/>
    <col min="7939" max="7939" width="55.875" style="561" customWidth="1"/>
    <col min="7940" max="7940" width="32.25" style="561" customWidth="1"/>
    <col min="7941" max="7941" width="16.375" style="561" customWidth="1"/>
    <col min="7942" max="8186" width="10.375" style="561" customWidth="1"/>
    <col min="8187" max="8187" width="5.75" style="561" customWidth="1"/>
    <col min="8188" max="8188" width="5.875" style="561" customWidth="1"/>
    <col min="8189" max="8189" width="34.125" style="561" customWidth="1"/>
    <col min="8190" max="8190" width="16.25" style="561" customWidth="1"/>
    <col min="8191" max="8192" width="16.75" style="561"/>
    <col min="8193" max="8193" width="5.75" style="561" customWidth="1"/>
    <col min="8194" max="8194" width="5.875" style="561" customWidth="1"/>
    <col min="8195" max="8195" width="55.875" style="561" customWidth="1"/>
    <col min="8196" max="8196" width="32.25" style="561" customWidth="1"/>
    <col min="8197" max="8197" width="16.375" style="561" customWidth="1"/>
    <col min="8198" max="8442" width="10.375" style="561" customWidth="1"/>
    <col min="8443" max="8443" width="5.75" style="561" customWidth="1"/>
    <col min="8444" max="8444" width="5.875" style="561" customWidth="1"/>
    <col min="8445" max="8445" width="34.125" style="561" customWidth="1"/>
    <col min="8446" max="8446" width="16.25" style="561" customWidth="1"/>
    <col min="8447" max="8448" width="16.75" style="561"/>
    <col min="8449" max="8449" width="5.75" style="561" customWidth="1"/>
    <col min="8450" max="8450" width="5.875" style="561" customWidth="1"/>
    <col min="8451" max="8451" width="55.875" style="561" customWidth="1"/>
    <col min="8452" max="8452" width="32.25" style="561" customWidth="1"/>
    <col min="8453" max="8453" width="16.375" style="561" customWidth="1"/>
    <col min="8454" max="8698" width="10.375" style="561" customWidth="1"/>
    <col min="8699" max="8699" width="5.75" style="561" customWidth="1"/>
    <col min="8700" max="8700" width="5.875" style="561" customWidth="1"/>
    <col min="8701" max="8701" width="34.125" style="561" customWidth="1"/>
    <col min="8702" max="8702" width="16.25" style="561" customWidth="1"/>
    <col min="8703" max="8704" width="16.75" style="561"/>
    <col min="8705" max="8705" width="5.75" style="561" customWidth="1"/>
    <col min="8706" max="8706" width="5.875" style="561" customWidth="1"/>
    <col min="8707" max="8707" width="55.875" style="561" customWidth="1"/>
    <col min="8708" max="8708" width="32.25" style="561" customWidth="1"/>
    <col min="8709" max="8709" width="16.375" style="561" customWidth="1"/>
    <col min="8710" max="8954" width="10.375" style="561" customWidth="1"/>
    <col min="8955" max="8955" width="5.75" style="561" customWidth="1"/>
    <col min="8956" max="8956" width="5.875" style="561" customWidth="1"/>
    <col min="8957" max="8957" width="34.125" style="561" customWidth="1"/>
    <col min="8958" max="8958" width="16.25" style="561" customWidth="1"/>
    <col min="8959" max="8960" width="16.75" style="561"/>
    <col min="8961" max="8961" width="5.75" style="561" customWidth="1"/>
    <col min="8962" max="8962" width="5.875" style="561" customWidth="1"/>
    <col min="8963" max="8963" width="55.875" style="561" customWidth="1"/>
    <col min="8964" max="8964" width="32.25" style="561" customWidth="1"/>
    <col min="8965" max="8965" width="16.375" style="561" customWidth="1"/>
    <col min="8966" max="9210" width="10.375" style="561" customWidth="1"/>
    <col min="9211" max="9211" width="5.75" style="561" customWidth="1"/>
    <col min="9212" max="9212" width="5.875" style="561" customWidth="1"/>
    <col min="9213" max="9213" width="34.125" style="561" customWidth="1"/>
    <col min="9214" max="9214" width="16.25" style="561" customWidth="1"/>
    <col min="9215" max="9216" width="16.75" style="561"/>
    <col min="9217" max="9217" width="5.75" style="561" customWidth="1"/>
    <col min="9218" max="9218" width="5.875" style="561" customWidth="1"/>
    <col min="9219" max="9219" width="55.875" style="561" customWidth="1"/>
    <col min="9220" max="9220" width="32.25" style="561" customWidth="1"/>
    <col min="9221" max="9221" width="16.375" style="561" customWidth="1"/>
    <col min="9222" max="9466" width="10.375" style="561" customWidth="1"/>
    <col min="9467" max="9467" width="5.75" style="561" customWidth="1"/>
    <col min="9468" max="9468" width="5.875" style="561" customWidth="1"/>
    <col min="9469" max="9469" width="34.125" style="561" customWidth="1"/>
    <col min="9470" max="9470" width="16.25" style="561" customWidth="1"/>
    <col min="9471" max="9472" width="16.75" style="561"/>
    <col min="9473" max="9473" width="5.75" style="561" customWidth="1"/>
    <col min="9474" max="9474" width="5.875" style="561" customWidth="1"/>
    <col min="9475" max="9475" width="55.875" style="561" customWidth="1"/>
    <col min="9476" max="9476" width="32.25" style="561" customWidth="1"/>
    <col min="9477" max="9477" width="16.375" style="561" customWidth="1"/>
    <col min="9478" max="9722" width="10.375" style="561" customWidth="1"/>
    <col min="9723" max="9723" width="5.75" style="561" customWidth="1"/>
    <col min="9724" max="9724" width="5.875" style="561" customWidth="1"/>
    <col min="9725" max="9725" width="34.125" style="561" customWidth="1"/>
    <col min="9726" max="9726" width="16.25" style="561" customWidth="1"/>
    <col min="9727" max="9728" width="16.75" style="561"/>
    <col min="9729" max="9729" width="5.75" style="561" customWidth="1"/>
    <col min="9730" max="9730" width="5.875" style="561" customWidth="1"/>
    <col min="9731" max="9731" width="55.875" style="561" customWidth="1"/>
    <col min="9732" max="9732" width="32.25" style="561" customWidth="1"/>
    <col min="9733" max="9733" width="16.375" style="561" customWidth="1"/>
    <col min="9734" max="9978" width="10.375" style="561" customWidth="1"/>
    <col min="9979" max="9979" width="5.75" style="561" customWidth="1"/>
    <col min="9980" max="9980" width="5.875" style="561" customWidth="1"/>
    <col min="9981" max="9981" width="34.125" style="561" customWidth="1"/>
    <col min="9982" max="9982" width="16.25" style="561" customWidth="1"/>
    <col min="9983" max="9984" width="16.75" style="561"/>
    <col min="9985" max="9985" width="5.75" style="561" customWidth="1"/>
    <col min="9986" max="9986" width="5.875" style="561" customWidth="1"/>
    <col min="9987" max="9987" width="55.875" style="561" customWidth="1"/>
    <col min="9988" max="9988" width="32.25" style="561" customWidth="1"/>
    <col min="9989" max="9989" width="16.375" style="561" customWidth="1"/>
    <col min="9990" max="10234" width="10.375" style="561" customWidth="1"/>
    <col min="10235" max="10235" width="5.75" style="561" customWidth="1"/>
    <col min="10236" max="10236" width="5.875" style="561" customWidth="1"/>
    <col min="10237" max="10237" width="34.125" style="561" customWidth="1"/>
    <col min="10238" max="10238" width="16.25" style="561" customWidth="1"/>
    <col min="10239" max="10240" width="16.75" style="561"/>
    <col min="10241" max="10241" width="5.75" style="561" customWidth="1"/>
    <col min="10242" max="10242" width="5.875" style="561" customWidth="1"/>
    <col min="10243" max="10243" width="55.875" style="561" customWidth="1"/>
    <col min="10244" max="10244" width="32.25" style="561" customWidth="1"/>
    <col min="10245" max="10245" width="16.375" style="561" customWidth="1"/>
    <col min="10246" max="10490" width="10.375" style="561" customWidth="1"/>
    <col min="10491" max="10491" width="5.75" style="561" customWidth="1"/>
    <col min="10492" max="10492" width="5.875" style="561" customWidth="1"/>
    <col min="10493" max="10493" width="34.125" style="561" customWidth="1"/>
    <col min="10494" max="10494" width="16.25" style="561" customWidth="1"/>
    <col min="10495" max="10496" width="16.75" style="561"/>
    <col min="10497" max="10497" width="5.75" style="561" customWidth="1"/>
    <col min="10498" max="10498" width="5.875" style="561" customWidth="1"/>
    <col min="10499" max="10499" width="55.875" style="561" customWidth="1"/>
    <col min="10500" max="10500" width="32.25" style="561" customWidth="1"/>
    <col min="10501" max="10501" width="16.375" style="561" customWidth="1"/>
    <col min="10502" max="10746" width="10.375" style="561" customWidth="1"/>
    <col min="10747" max="10747" width="5.75" style="561" customWidth="1"/>
    <col min="10748" max="10748" width="5.875" style="561" customWidth="1"/>
    <col min="10749" max="10749" width="34.125" style="561" customWidth="1"/>
    <col min="10750" max="10750" width="16.25" style="561" customWidth="1"/>
    <col min="10751" max="10752" width="16.75" style="561"/>
    <col min="10753" max="10753" width="5.75" style="561" customWidth="1"/>
    <col min="10754" max="10754" width="5.875" style="561" customWidth="1"/>
    <col min="10755" max="10755" width="55.875" style="561" customWidth="1"/>
    <col min="10756" max="10756" width="32.25" style="561" customWidth="1"/>
    <col min="10757" max="10757" width="16.375" style="561" customWidth="1"/>
    <col min="10758" max="11002" width="10.375" style="561" customWidth="1"/>
    <col min="11003" max="11003" width="5.75" style="561" customWidth="1"/>
    <col min="11004" max="11004" width="5.875" style="561" customWidth="1"/>
    <col min="11005" max="11005" width="34.125" style="561" customWidth="1"/>
    <col min="11006" max="11006" width="16.25" style="561" customWidth="1"/>
    <col min="11007" max="11008" width="16.75" style="561"/>
    <col min="11009" max="11009" width="5.75" style="561" customWidth="1"/>
    <col min="11010" max="11010" width="5.875" style="561" customWidth="1"/>
    <col min="11011" max="11011" width="55.875" style="561" customWidth="1"/>
    <col min="11012" max="11012" width="32.25" style="561" customWidth="1"/>
    <col min="11013" max="11013" width="16.375" style="561" customWidth="1"/>
    <col min="11014" max="11258" width="10.375" style="561" customWidth="1"/>
    <col min="11259" max="11259" width="5.75" style="561" customWidth="1"/>
    <col min="11260" max="11260" width="5.875" style="561" customWidth="1"/>
    <col min="11261" max="11261" width="34.125" style="561" customWidth="1"/>
    <col min="11262" max="11262" width="16.25" style="561" customWidth="1"/>
    <col min="11263" max="11264" width="16.75" style="561"/>
    <col min="11265" max="11265" width="5.75" style="561" customWidth="1"/>
    <col min="11266" max="11266" width="5.875" style="561" customWidth="1"/>
    <col min="11267" max="11267" width="55.875" style="561" customWidth="1"/>
    <col min="11268" max="11268" width="32.25" style="561" customWidth="1"/>
    <col min="11269" max="11269" width="16.375" style="561" customWidth="1"/>
    <col min="11270" max="11514" width="10.375" style="561" customWidth="1"/>
    <col min="11515" max="11515" width="5.75" style="561" customWidth="1"/>
    <col min="11516" max="11516" width="5.875" style="561" customWidth="1"/>
    <col min="11517" max="11517" width="34.125" style="561" customWidth="1"/>
    <col min="11518" max="11518" width="16.25" style="561" customWidth="1"/>
    <col min="11519" max="11520" width="16.75" style="561"/>
    <col min="11521" max="11521" width="5.75" style="561" customWidth="1"/>
    <col min="11522" max="11522" width="5.875" style="561" customWidth="1"/>
    <col min="11523" max="11523" width="55.875" style="561" customWidth="1"/>
    <col min="11524" max="11524" width="32.25" style="561" customWidth="1"/>
    <col min="11525" max="11525" width="16.375" style="561" customWidth="1"/>
    <col min="11526" max="11770" width="10.375" style="561" customWidth="1"/>
    <col min="11771" max="11771" width="5.75" style="561" customWidth="1"/>
    <col min="11772" max="11772" width="5.875" style="561" customWidth="1"/>
    <col min="11773" max="11773" width="34.125" style="561" customWidth="1"/>
    <col min="11774" max="11774" width="16.25" style="561" customWidth="1"/>
    <col min="11775" max="11776" width="16.75" style="561"/>
    <col min="11777" max="11777" width="5.75" style="561" customWidth="1"/>
    <col min="11778" max="11778" width="5.875" style="561" customWidth="1"/>
    <col min="11779" max="11779" width="55.875" style="561" customWidth="1"/>
    <col min="11780" max="11780" width="32.25" style="561" customWidth="1"/>
    <col min="11781" max="11781" width="16.375" style="561" customWidth="1"/>
    <col min="11782" max="12026" width="10.375" style="561" customWidth="1"/>
    <col min="12027" max="12027" width="5.75" style="561" customWidth="1"/>
    <col min="12028" max="12028" width="5.875" style="561" customWidth="1"/>
    <col min="12029" max="12029" width="34.125" style="561" customWidth="1"/>
    <col min="12030" max="12030" width="16.25" style="561" customWidth="1"/>
    <col min="12031" max="12032" width="16.75" style="561"/>
    <col min="12033" max="12033" width="5.75" style="561" customWidth="1"/>
    <col min="12034" max="12034" width="5.875" style="561" customWidth="1"/>
    <col min="12035" max="12035" width="55.875" style="561" customWidth="1"/>
    <col min="12036" max="12036" width="32.25" style="561" customWidth="1"/>
    <col min="12037" max="12037" width="16.375" style="561" customWidth="1"/>
    <col min="12038" max="12282" width="10.375" style="561" customWidth="1"/>
    <col min="12283" max="12283" width="5.75" style="561" customWidth="1"/>
    <col min="12284" max="12284" width="5.875" style="561" customWidth="1"/>
    <col min="12285" max="12285" width="34.125" style="561" customWidth="1"/>
    <col min="12286" max="12286" width="16.25" style="561" customWidth="1"/>
    <col min="12287" max="12288" width="16.75" style="561"/>
    <col min="12289" max="12289" width="5.75" style="561" customWidth="1"/>
    <col min="12290" max="12290" width="5.875" style="561" customWidth="1"/>
    <col min="12291" max="12291" width="55.875" style="561" customWidth="1"/>
    <col min="12292" max="12292" width="32.25" style="561" customWidth="1"/>
    <col min="12293" max="12293" width="16.375" style="561" customWidth="1"/>
    <col min="12294" max="12538" width="10.375" style="561" customWidth="1"/>
    <col min="12539" max="12539" width="5.75" style="561" customWidth="1"/>
    <col min="12540" max="12540" width="5.875" style="561" customWidth="1"/>
    <col min="12541" max="12541" width="34.125" style="561" customWidth="1"/>
    <col min="12542" max="12542" width="16.25" style="561" customWidth="1"/>
    <col min="12543" max="12544" width="16.75" style="561"/>
    <col min="12545" max="12545" width="5.75" style="561" customWidth="1"/>
    <col min="12546" max="12546" width="5.875" style="561" customWidth="1"/>
    <col min="12547" max="12547" width="55.875" style="561" customWidth="1"/>
    <col min="12548" max="12548" width="32.25" style="561" customWidth="1"/>
    <col min="12549" max="12549" width="16.375" style="561" customWidth="1"/>
    <col min="12550" max="12794" width="10.375" style="561" customWidth="1"/>
    <col min="12795" max="12795" width="5.75" style="561" customWidth="1"/>
    <col min="12796" max="12796" width="5.875" style="561" customWidth="1"/>
    <col min="12797" max="12797" width="34.125" style="561" customWidth="1"/>
    <col min="12798" max="12798" width="16.25" style="561" customWidth="1"/>
    <col min="12799" max="12800" width="16.75" style="561"/>
    <col min="12801" max="12801" width="5.75" style="561" customWidth="1"/>
    <col min="12802" max="12802" width="5.875" style="561" customWidth="1"/>
    <col min="12803" max="12803" width="55.875" style="561" customWidth="1"/>
    <col min="12804" max="12804" width="32.25" style="561" customWidth="1"/>
    <col min="12805" max="12805" width="16.375" style="561" customWidth="1"/>
    <col min="12806" max="13050" width="10.375" style="561" customWidth="1"/>
    <col min="13051" max="13051" width="5.75" style="561" customWidth="1"/>
    <col min="13052" max="13052" width="5.875" style="561" customWidth="1"/>
    <col min="13053" max="13053" width="34.125" style="561" customWidth="1"/>
    <col min="13054" max="13054" width="16.25" style="561" customWidth="1"/>
    <col min="13055" max="13056" width="16.75" style="561"/>
    <col min="13057" max="13057" width="5.75" style="561" customWidth="1"/>
    <col min="13058" max="13058" width="5.875" style="561" customWidth="1"/>
    <col min="13059" max="13059" width="55.875" style="561" customWidth="1"/>
    <col min="13060" max="13060" width="32.25" style="561" customWidth="1"/>
    <col min="13061" max="13061" width="16.375" style="561" customWidth="1"/>
    <col min="13062" max="13306" width="10.375" style="561" customWidth="1"/>
    <col min="13307" max="13307" width="5.75" style="561" customWidth="1"/>
    <col min="13308" max="13308" width="5.875" style="561" customWidth="1"/>
    <col min="13309" max="13309" width="34.125" style="561" customWidth="1"/>
    <col min="13310" max="13310" width="16.25" style="561" customWidth="1"/>
    <col min="13311" max="13312" width="16.75" style="561"/>
    <col min="13313" max="13313" width="5.75" style="561" customWidth="1"/>
    <col min="13314" max="13314" width="5.875" style="561" customWidth="1"/>
    <col min="13315" max="13315" width="55.875" style="561" customWidth="1"/>
    <col min="13316" max="13316" width="32.25" style="561" customWidth="1"/>
    <col min="13317" max="13317" width="16.375" style="561" customWidth="1"/>
    <col min="13318" max="13562" width="10.375" style="561" customWidth="1"/>
    <col min="13563" max="13563" width="5.75" style="561" customWidth="1"/>
    <col min="13564" max="13564" width="5.875" style="561" customWidth="1"/>
    <col min="13565" max="13565" width="34.125" style="561" customWidth="1"/>
    <col min="13566" max="13566" width="16.25" style="561" customWidth="1"/>
    <col min="13567" max="13568" width="16.75" style="561"/>
    <col min="13569" max="13569" width="5.75" style="561" customWidth="1"/>
    <col min="13570" max="13570" width="5.875" style="561" customWidth="1"/>
    <col min="13571" max="13571" width="55.875" style="561" customWidth="1"/>
    <col min="13572" max="13572" width="32.25" style="561" customWidth="1"/>
    <col min="13573" max="13573" width="16.375" style="561" customWidth="1"/>
    <col min="13574" max="13818" width="10.375" style="561" customWidth="1"/>
    <col min="13819" max="13819" width="5.75" style="561" customWidth="1"/>
    <col min="13820" max="13820" width="5.875" style="561" customWidth="1"/>
    <col min="13821" max="13821" width="34.125" style="561" customWidth="1"/>
    <col min="13822" max="13822" width="16.25" style="561" customWidth="1"/>
    <col min="13823" max="13824" width="16.75" style="561"/>
    <col min="13825" max="13825" width="5.75" style="561" customWidth="1"/>
    <col min="13826" max="13826" width="5.875" style="561" customWidth="1"/>
    <col min="13827" max="13827" width="55.875" style="561" customWidth="1"/>
    <col min="13828" max="13828" width="32.25" style="561" customWidth="1"/>
    <col min="13829" max="13829" width="16.375" style="561" customWidth="1"/>
    <col min="13830" max="14074" width="10.375" style="561" customWidth="1"/>
    <col min="14075" max="14075" width="5.75" style="561" customWidth="1"/>
    <col min="14076" max="14076" width="5.875" style="561" customWidth="1"/>
    <col min="14077" max="14077" width="34.125" style="561" customWidth="1"/>
    <col min="14078" max="14078" width="16.25" style="561" customWidth="1"/>
    <col min="14079" max="14080" width="16.75" style="561"/>
    <col min="14081" max="14081" width="5.75" style="561" customWidth="1"/>
    <col min="14082" max="14082" width="5.875" style="561" customWidth="1"/>
    <col min="14083" max="14083" width="55.875" style="561" customWidth="1"/>
    <col min="14084" max="14084" width="32.25" style="561" customWidth="1"/>
    <col min="14085" max="14085" width="16.375" style="561" customWidth="1"/>
    <col min="14086" max="14330" width="10.375" style="561" customWidth="1"/>
    <col min="14331" max="14331" width="5.75" style="561" customWidth="1"/>
    <col min="14332" max="14332" width="5.875" style="561" customWidth="1"/>
    <col min="14333" max="14333" width="34.125" style="561" customWidth="1"/>
    <col min="14334" max="14334" width="16.25" style="561" customWidth="1"/>
    <col min="14335" max="14336" width="16.75" style="561"/>
    <col min="14337" max="14337" width="5.75" style="561" customWidth="1"/>
    <col min="14338" max="14338" width="5.875" style="561" customWidth="1"/>
    <col min="14339" max="14339" width="55.875" style="561" customWidth="1"/>
    <col min="14340" max="14340" width="32.25" style="561" customWidth="1"/>
    <col min="14341" max="14341" width="16.375" style="561" customWidth="1"/>
    <col min="14342" max="14586" width="10.375" style="561" customWidth="1"/>
    <col min="14587" max="14587" width="5.75" style="561" customWidth="1"/>
    <col min="14588" max="14588" width="5.875" style="561" customWidth="1"/>
    <col min="14589" max="14589" width="34.125" style="561" customWidth="1"/>
    <col min="14590" max="14590" width="16.25" style="561" customWidth="1"/>
    <col min="14591" max="14592" width="16.75" style="561"/>
    <col min="14593" max="14593" width="5.75" style="561" customWidth="1"/>
    <col min="14594" max="14594" width="5.875" style="561" customWidth="1"/>
    <col min="14595" max="14595" width="55.875" style="561" customWidth="1"/>
    <col min="14596" max="14596" width="32.25" style="561" customWidth="1"/>
    <col min="14597" max="14597" width="16.375" style="561" customWidth="1"/>
    <col min="14598" max="14842" width="10.375" style="561" customWidth="1"/>
    <col min="14843" max="14843" width="5.75" style="561" customWidth="1"/>
    <col min="14844" max="14844" width="5.875" style="561" customWidth="1"/>
    <col min="14845" max="14845" width="34.125" style="561" customWidth="1"/>
    <col min="14846" max="14846" width="16.25" style="561" customWidth="1"/>
    <col min="14847" max="14848" width="16.75" style="561"/>
    <col min="14849" max="14849" width="5.75" style="561" customWidth="1"/>
    <col min="14850" max="14850" width="5.875" style="561" customWidth="1"/>
    <col min="14851" max="14851" width="55.875" style="561" customWidth="1"/>
    <col min="14852" max="14852" width="32.25" style="561" customWidth="1"/>
    <col min="14853" max="14853" width="16.375" style="561" customWidth="1"/>
    <col min="14854" max="15098" width="10.375" style="561" customWidth="1"/>
    <col min="15099" max="15099" width="5.75" style="561" customWidth="1"/>
    <col min="15100" max="15100" width="5.875" style="561" customWidth="1"/>
    <col min="15101" max="15101" width="34.125" style="561" customWidth="1"/>
    <col min="15102" max="15102" width="16.25" style="561" customWidth="1"/>
    <col min="15103" max="15104" width="16.75" style="561"/>
    <col min="15105" max="15105" width="5.75" style="561" customWidth="1"/>
    <col min="15106" max="15106" width="5.875" style="561" customWidth="1"/>
    <col min="15107" max="15107" width="55.875" style="561" customWidth="1"/>
    <col min="15108" max="15108" width="32.25" style="561" customWidth="1"/>
    <col min="15109" max="15109" width="16.375" style="561" customWidth="1"/>
    <col min="15110" max="15354" width="10.375" style="561" customWidth="1"/>
    <col min="15355" max="15355" width="5.75" style="561" customWidth="1"/>
    <col min="15356" max="15356" width="5.875" style="561" customWidth="1"/>
    <col min="15357" max="15357" width="34.125" style="561" customWidth="1"/>
    <col min="15358" max="15358" width="16.25" style="561" customWidth="1"/>
    <col min="15359" max="15360" width="16.75" style="561"/>
    <col min="15361" max="15361" width="5.75" style="561" customWidth="1"/>
    <col min="15362" max="15362" width="5.875" style="561" customWidth="1"/>
    <col min="15363" max="15363" width="55.875" style="561" customWidth="1"/>
    <col min="15364" max="15364" width="32.25" style="561" customWidth="1"/>
    <col min="15365" max="15365" width="16.375" style="561" customWidth="1"/>
    <col min="15366" max="15610" width="10.375" style="561" customWidth="1"/>
    <col min="15611" max="15611" width="5.75" style="561" customWidth="1"/>
    <col min="15612" max="15612" width="5.875" style="561" customWidth="1"/>
    <col min="15613" max="15613" width="34.125" style="561" customWidth="1"/>
    <col min="15614" max="15614" width="16.25" style="561" customWidth="1"/>
    <col min="15615" max="15616" width="16.75" style="561"/>
    <col min="15617" max="15617" width="5.75" style="561" customWidth="1"/>
    <col min="15618" max="15618" width="5.875" style="561" customWidth="1"/>
    <col min="15619" max="15619" width="55.875" style="561" customWidth="1"/>
    <col min="15620" max="15620" width="32.25" style="561" customWidth="1"/>
    <col min="15621" max="15621" width="16.375" style="561" customWidth="1"/>
    <col min="15622" max="15866" width="10.375" style="561" customWidth="1"/>
    <col min="15867" max="15867" width="5.75" style="561" customWidth="1"/>
    <col min="15868" max="15868" width="5.875" style="561" customWidth="1"/>
    <col min="15869" max="15869" width="34.125" style="561" customWidth="1"/>
    <col min="15870" max="15870" width="16.25" style="561" customWidth="1"/>
    <col min="15871" max="15872" width="16.75" style="561"/>
    <col min="15873" max="15873" width="5.75" style="561" customWidth="1"/>
    <col min="15874" max="15874" width="5.875" style="561" customWidth="1"/>
    <col min="15875" max="15875" width="55.875" style="561" customWidth="1"/>
    <col min="15876" max="15876" width="32.25" style="561" customWidth="1"/>
    <col min="15877" max="15877" width="16.375" style="561" customWidth="1"/>
    <col min="15878" max="16122" width="10.375" style="561" customWidth="1"/>
    <col min="16123" max="16123" width="5.75" style="561" customWidth="1"/>
    <col min="16124" max="16124" width="5.875" style="561" customWidth="1"/>
    <col min="16125" max="16125" width="34.125" style="561" customWidth="1"/>
    <col min="16126" max="16126" width="16.25" style="561" customWidth="1"/>
    <col min="16127" max="16128" width="16.75" style="561"/>
    <col min="16129" max="16129" width="5.75" style="561" customWidth="1"/>
    <col min="16130" max="16130" width="5.875" style="561" customWidth="1"/>
    <col min="16131" max="16131" width="55.875" style="561" customWidth="1"/>
    <col min="16132" max="16132" width="32.25" style="561" customWidth="1"/>
    <col min="16133" max="16133" width="16.375" style="561" customWidth="1"/>
    <col min="16134" max="16378" width="10.375" style="561" customWidth="1"/>
    <col min="16379" max="16379" width="5.75" style="561" customWidth="1"/>
    <col min="16380" max="16380" width="5.875" style="561" customWidth="1"/>
    <col min="16381" max="16381" width="34.125" style="561" customWidth="1"/>
    <col min="16382" max="16382" width="16.25" style="561" customWidth="1"/>
    <col min="16383" max="16384" width="16.75" style="561"/>
  </cols>
  <sheetData>
    <row r="1" spans="1:5" ht="15" customHeight="1">
      <c r="A1" s="558"/>
      <c r="B1" s="558"/>
      <c r="C1" s="558"/>
      <c r="D1" s="559" t="s">
        <v>698</v>
      </c>
      <c r="E1" s="560"/>
    </row>
    <row r="2" spans="1:5" ht="15" customHeight="1">
      <c r="A2" s="558"/>
      <c r="B2" s="558"/>
      <c r="C2" s="558"/>
      <c r="D2" s="562" t="s">
        <v>765</v>
      </c>
      <c r="E2" s="563"/>
    </row>
    <row r="3" spans="1:5" ht="15" customHeight="1">
      <c r="A3" s="564"/>
      <c r="B3" s="564"/>
      <c r="C3" s="564"/>
      <c r="D3" s="562" t="s">
        <v>766</v>
      </c>
      <c r="E3" s="563"/>
    </row>
    <row r="4" spans="1:5" ht="3.75" customHeight="1">
      <c r="A4" s="564"/>
      <c r="B4" s="564"/>
      <c r="C4" s="564"/>
      <c r="D4" s="562"/>
      <c r="E4" s="563"/>
    </row>
    <row r="5" spans="1:5" s="565" customFormat="1" ht="18.75" customHeight="1">
      <c r="A5" s="925" t="s">
        <v>699</v>
      </c>
      <c r="B5" s="925"/>
      <c r="C5" s="925"/>
      <c r="D5" s="925"/>
    </row>
    <row r="6" spans="1:5" s="565" customFormat="1" ht="18.75" customHeight="1">
      <c r="A6" s="925" t="s">
        <v>277</v>
      </c>
      <c r="B6" s="925"/>
      <c r="C6" s="925"/>
      <c r="D6" s="925"/>
    </row>
    <row r="7" spans="1:5" s="644" customFormat="1" ht="15" customHeight="1">
      <c r="A7" s="926"/>
      <c r="B7" s="926"/>
      <c r="C7" s="926"/>
      <c r="D7" s="643" t="s">
        <v>15</v>
      </c>
    </row>
    <row r="8" spans="1:5" s="566" customFormat="1" ht="15.75" customHeight="1">
      <c r="A8" s="927" t="s">
        <v>700</v>
      </c>
      <c r="B8" s="927" t="s">
        <v>125</v>
      </c>
      <c r="C8" s="928" t="s">
        <v>581</v>
      </c>
      <c r="D8" s="927" t="s">
        <v>701</v>
      </c>
    </row>
    <row r="9" spans="1:5" s="567" customFormat="1" ht="9" customHeight="1">
      <c r="A9" s="927"/>
      <c r="B9" s="927"/>
      <c r="C9" s="928"/>
      <c r="D9" s="927"/>
    </row>
    <row r="10" spans="1:5" s="570" customFormat="1">
      <c r="A10" s="568">
        <v>1</v>
      </c>
      <c r="B10" s="568">
        <v>2</v>
      </c>
      <c r="C10" s="569">
        <v>3</v>
      </c>
      <c r="D10" s="568">
        <v>4</v>
      </c>
    </row>
    <row r="11" spans="1:5" s="570" customFormat="1" ht="8.25" customHeight="1">
      <c r="A11" s="571"/>
      <c r="B11" s="572"/>
      <c r="C11" s="572"/>
      <c r="D11" s="573"/>
    </row>
    <row r="12" spans="1:5" s="577" customFormat="1" ht="21" customHeight="1">
      <c r="A12" s="574">
        <v>1</v>
      </c>
      <c r="B12" s="574"/>
      <c r="C12" s="575" t="s">
        <v>207</v>
      </c>
      <c r="D12" s="576">
        <f>D14+D13</f>
        <v>1766723961</v>
      </c>
    </row>
    <row r="13" spans="1:5" s="581" customFormat="1" ht="21" customHeight="1">
      <c r="A13" s="578" t="s">
        <v>702</v>
      </c>
      <c r="B13" s="578"/>
      <c r="C13" s="579" t="s">
        <v>703</v>
      </c>
      <c r="D13" s="580">
        <v>1560549839</v>
      </c>
    </row>
    <row r="14" spans="1:5" s="581" customFormat="1" ht="21" customHeight="1">
      <c r="A14" s="578" t="s">
        <v>704</v>
      </c>
      <c r="B14" s="578"/>
      <c r="C14" s="579" t="s">
        <v>705</v>
      </c>
      <c r="D14" s="580">
        <v>206174122</v>
      </c>
    </row>
    <row r="15" spans="1:5" s="577" customFormat="1" ht="21" customHeight="1">
      <c r="A15" s="574">
        <v>2</v>
      </c>
      <c r="B15" s="574"/>
      <c r="C15" s="575" t="s">
        <v>706</v>
      </c>
      <c r="D15" s="576">
        <f>D16+D19+D22</f>
        <v>80049626</v>
      </c>
    </row>
    <row r="16" spans="1:5" s="586" customFormat="1" ht="30.75" customHeight="1">
      <c r="A16" s="582" t="s">
        <v>707</v>
      </c>
      <c r="B16" s="583"/>
      <c r="C16" s="584" t="s">
        <v>708</v>
      </c>
      <c r="D16" s="585">
        <f>D17+D18</f>
        <v>5000000</v>
      </c>
    </row>
    <row r="17" spans="1:4" s="591" customFormat="1" ht="30" customHeight="1">
      <c r="A17" s="587" t="s">
        <v>709</v>
      </c>
      <c r="B17" s="588">
        <v>905</v>
      </c>
      <c r="C17" s="589" t="s">
        <v>710</v>
      </c>
      <c r="D17" s="590">
        <v>5000000</v>
      </c>
    </row>
    <row r="18" spans="1:4" s="591" customFormat="1" ht="39" customHeight="1">
      <c r="A18" s="592" t="s">
        <v>711</v>
      </c>
      <c r="B18" s="588">
        <v>906</v>
      </c>
      <c r="C18" s="589" t="s">
        <v>712</v>
      </c>
      <c r="D18" s="590">
        <v>0</v>
      </c>
    </row>
    <row r="19" spans="1:4" s="586" customFormat="1" ht="21.95" customHeight="1">
      <c r="A19" s="593" t="s">
        <v>713</v>
      </c>
      <c r="B19" s="594">
        <v>952</v>
      </c>
      <c r="C19" s="595" t="s">
        <v>714</v>
      </c>
      <c r="D19" s="585">
        <f>D20+D21</f>
        <v>65000000</v>
      </c>
    </row>
    <row r="20" spans="1:4" s="570" customFormat="1" ht="18.75" customHeight="1">
      <c r="A20" s="592" t="s">
        <v>715</v>
      </c>
      <c r="B20" s="568"/>
      <c r="C20" s="596" t="s">
        <v>716</v>
      </c>
      <c r="D20" s="590">
        <v>14000000</v>
      </c>
    </row>
    <row r="21" spans="1:4" s="570" customFormat="1" ht="18.75" customHeight="1">
      <c r="A21" s="592" t="s">
        <v>717</v>
      </c>
      <c r="B21" s="568"/>
      <c r="C21" s="596" t="s">
        <v>718</v>
      </c>
      <c r="D21" s="590">
        <v>51000000</v>
      </c>
    </row>
    <row r="22" spans="1:4" s="586" customFormat="1" ht="27.75" customHeight="1">
      <c r="A22" s="593" t="s">
        <v>719</v>
      </c>
      <c r="B22" s="594">
        <v>950</v>
      </c>
      <c r="C22" s="595" t="s">
        <v>720</v>
      </c>
      <c r="D22" s="585">
        <f>D23+D24</f>
        <v>10049626</v>
      </c>
    </row>
    <row r="23" spans="1:4" s="591" customFormat="1" ht="19.5" customHeight="1">
      <c r="A23" s="592" t="s">
        <v>721</v>
      </c>
      <c r="B23" s="568"/>
      <c r="C23" s="596" t="s">
        <v>722</v>
      </c>
      <c r="D23" s="590">
        <v>0</v>
      </c>
    </row>
    <row r="24" spans="1:4" s="591" customFormat="1" ht="19.5" customHeight="1">
      <c r="A24" s="592" t="s">
        <v>723</v>
      </c>
      <c r="B24" s="568"/>
      <c r="C24" s="596" t="s">
        <v>724</v>
      </c>
      <c r="D24" s="590">
        <v>10049626</v>
      </c>
    </row>
    <row r="25" spans="1:4" s="599" customFormat="1" ht="21.95" customHeight="1">
      <c r="A25" s="597">
        <v>3</v>
      </c>
      <c r="B25" s="597"/>
      <c r="C25" s="598" t="s">
        <v>725</v>
      </c>
      <c r="D25" s="576">
        <f>D12+D15</f>
        <v>1846773587</v>
      </c>
    </row>
    <row r="26" spans="1:4" ht="4.5" customHeight="1">
      <c r="A26" s="600"/>
      <c r="B26" s="601"/>
      <c r="C26" s="602"/>
      <c r="D26" s="603"/>
    </row>
    <row r="27" spans="1:4" s="604" customFormat="1" ht="21.95" customHeight="1">
      <c r="A27" s="574">
        <v>4</v>
      </c>
      <c r="B27" s="574"/>
      <c r="C27" s="575" t="s">
        <v>208</v>
      </c>
      <c r="D27" s="576">
        <f>D28+D31</f>
        <v>1832773587</v>
      </c>
    </row>
    <row r="28" spans="1:4" s="581" customFormat="1" ht="21.95" customHeight="1">
      <c r="A28" s="578" t="s">
        <v>726</v>
      </c>
      <c r="B28" s="578"/>
      <c r="C28" s="579" t="s">
        <v>727</v>
      </c>
      <c r="D28" s="580">
        <f>D29+D30</f>
        <v>1146255698</v>
      </c>
    </row>
    <row r="29" spans="1:4" s="608" customFormat="1" ht="19.5" customHeight="1">
      <c r="A29" s="605" t="s">
        <v>728</v>
      </c>
      <c r="B29" s="605"/>
      <c r="C29" s="606" t="s">
        <v>729</v>
      </c>
      <c r="D29" s="607">
        <v>1074622540</v>
      </c>
    </row>
    <row r="30" spans="1:4" s="608" customFormat="1" ht="19.5" customHeight="1">
      <c r="A30" s="605" t="s">
        <v>730</v>
      </c>
      <c r="B30" s="605"/>
      <c r="C30" s="606" t="s">
        <v>731</v>
      </c>
      <c r="D30" s="607">
        <v>71633158</v>
      </c>
    </row>
    <row r="31" spans="1:4" s="581" customFormat="1" ht="21.95" customHeight="1">
      <c r="A31" s="578" t="s">
        <v>732</v>
      </c>
      <c r="B31" s="578"/>
      <c r="C31" s="579" t="s">
        <v>733</v>
      </c>
      <c r="D31" s="580">
        <v>686517889</v>
      </c>
    </row>
    <row r="32" spans="1:4" s="577" customFormat="1" ht="21.95" customHeight="1">
      <c r="A32" s="574">
        <v>5</v>
      </c>
      <c r="B32" s="574"/>
      <c r="C32" s="575" t="s">
        <v>734</v>
      </c>
      <c r="D32" s="576">
        <f>D33</f>
        <v>14000000</v>
      </c>
    </row>
    <row r="33" spans="1:4" ht="21.95" customHeight="1">
      <c r="A33" s="594" t="s">
        <v>735</v>
      </c>
      <c r="B33" s="594">
        <v>992</v>
      </c>
      <c r="C33" s="595" t="s">
        <v>736</v>
      </c>
      <c r="D33" s="585">
        <v>14000000</v>
      </c>
    </row>
    <row r="34" spans="1:4" s="599" customFormat="1" ht="21.95" customHeight="1">
      <c r="A34" s="597">
        <v>6</v>
      </c>
      <c r="B34" s="597"/>
      <c r="C34" s="598" t="s">
        <v>737</v>
      </c>
      <c r="D34" s="576">
        <f>D27+D32</f>
        <v>1846773587</v>
      </c>
    </row>
    <row r="35" spans="1:4" s="599" customFormat="1" ht="6.75" customHeight="1">
      <c r="A35" s="609"/>
      <c r="B35" s="610"/>
      <c r="C35" s="611"/>
      <c r="D35" s="612"/>
    </row>
    <row r="36" spans="1:4" s="577" customFormat="1" ht="21.95" customHeight="1">
      <c r="A36" s="574">
        <v>7</v>
      </c>
      <c r="B36" s="574"/>
      <c r="C36" s="575" t="s">
        <v>738</v>
      </c>
      <c r="D36" s="576">
        <f>D25-D34</f>
        <v>0</v>
      </c>
    </row>
    <row r="37" spans="1:4" s="577" customFormat="1" ht="6" customHeight="1">
      <c r="A37" s="613"/>
      <c r="B37" s="614"/>
      <c r="C37" s="615"/>
      <c r="D37" s="603"/>
    </row>
    <row r="38" spans="1:4" s="577" customFormat="1" ht="21.95" customHeight="1">
      <c r="A38" s="574">
        <v>8</v>
      </c>
      <c r="B38" s="574"/>
      <c r="C38" s="575" t="s">
        <v>739</v>
      </c>
      <c r="D38" s="576">
        <f>D12-D27</f>
        <v>-66049626</v>
      </c>
    </row>
    <row r="39" spans="1:4" s="577" customFormat="1" ht="6.75" customHeight="1">
      <c r="A39" s="613"/>
      <c r="B39" s="614"/>
      <c r="C39" s="615"/>
      <c r="D39" s="603"/>
    </row>
    <row r="40" spans="1:4" s="577" customFormat="1" ht="21.95" customHeight="1">
      <c r="A40" s="616">
        <v>9</v>
      </c>
      <c r="B40" s="616"/>
      <c r="C40" s="617" t="s">
        <v>740</v>
      </c>
      <c r="D40" s="618">
        <f>D41+D44+D45</f>
        <v>66049626</v>
      </c>
    </row>
    <row r="41" spans="1:4" s="620" customFormat="1" ht="29.25" customHeight="1">
      <c r="A41" s="593" t="s">
        <v>741</v>
      </c>
      <c r="B41" s="594"/>
      <c r="C41" s="584" t="s">
        <v>708</v>
      </c>
      <c r="D41" s="619">
        <f>D42+D43</f>
        <v>5000000</v>
      </c>
    </row>
    <row r="42" spans="1:4" s="622" customFormat="1" ht="32.25" customHeight="1">
      <c r="A42" s="592" t="s">
        <v>742</v>
      </c>
      <c r="B42" s="568"/>
      <c r="C42" s="589" t="s">
        <v>710</v>
      </c>
      <c r="D42" s="621">
        <f>D17</f>
        <v>5000000</v>
      </c>
    </row>
    <row r="43" spans="1:4" s="622" customFormat="1" ht="41.25" customHeight="1">
      <c r="A43" s="592" t="s">
        <v>743</v>
      </c>
      <c r="B43" s="568"/>
      <c r="C43" s="596" t="s">
        <v>744</v>
      </c>
      <c r="D43" s="621">
        <f>D18</f>
        <v>0</v>
      </c>
    </row>
    <row r="44" spans="1:4" ht="17.25" customHeight="1">
      <c r="A44" s="593" t="s">
        <v>745</v>
      </c>
      <c r="B44" s="594"/>
      <c r="C44" s="595" t="s">
        <v>746</v>
      </c>
      <c r="D44" s="585">
        <f>D21</f>
        <v>51000000</v>
      </c>
    </row>
    <row r="45" spans="1:4" ht="30" customHeight="1">
      <c r="A45" s="623" t="s">
        <v>747</v>
      </c>
      <c r="B45" s="624"/>
      <c r="C45" s="595" t="s">
        <v>720</v>
      </c>
      <c r="D45" s="585">
        <f>D24</f>
        <v>10049626</v>
      </c>
    </row>
    <row r="46" spans="1:4" ht="21.95" hidden="1" customHeight="1">
      <c r="A46" s="623" t="s">
        <v>747</v>
      </c>
      <c r="B46" s="624"/>
      <c r="C46" s="625" t="s">
        <v>748</v>
      </c>
      <c r="D46" s="603">
        <v>0</v>
      </c>
    </row>
    <row r="47" spans="1:4" ht="5.25" customHeight="1">
      <c r="A47" s="626"/>
      <c r="B47" s="627"/>
      <c r="C47" s="628"/>
      <c r="D47" s="629"/>
    </row>
    <row r="48" spans="1:4" s="599" customFormat="1" ht="14.25" customHeight="1">
      <c r="A48" s="929" t="s">
        <v>749</v>
      </c>
      <c r="B48" s="929"/>
      <c r="C48" s="929"/>
      <c r="D48" s="630"/>
    </row>
    <row r="49" spans="1:4" ht="15" customHeight="1">
      <c r="A49" s="924" t="s">
        <v>750</v>
      </c>
      <c r="B49" s="924"/>
      <c r="C49" s="924"/>
      <c r="D49" s="631">
        <f>D13</f>
        <v>1560549839</v>
      </c>
    </row>
    <row r="50" spans="1:4" ht="15" customHeight="1">
      <c r="A50" s="924" t="s">
        <v>751</v>
      </c>
      <c r="B50" s="924"/>
      <c r="C50" s="924"/>
      <c r="D50" s="631">
        <f>D28</f>
        <v>1146255698</v>
      </c>
    </row>
    <row r="51" spans="1:4" s="599" customFormat="1" ht="16.5" customHeight="1">
      <c r="A51" s="930" t="s">
        <v>752</v>
      </c>
      <c r="B51" s="930"/>
      <c r="C51" s="930"/>
      <c r="D51" s="632">
        <f>D49-D50</f>
        <v>414294141</v>
      </c>
    </row>
    <row r="52" spans="1:4" s="566" customFormat="1" ht="6" customHeight="1">
      <c r="A52" s="633"/>
      <c r="B52" s="634"/>
      <c r="C52" s="635"/>
      <c r="D52" s="636"/>
    </row>
    <row r="53" spans="1:4" s="566" customFormat="1" ht="12" customHeight="1">
      <c r="A53" s="931" t="s">
        <v>753</v>
      </c>
      <c r="B53" s="931"/>
      <c r="C53" s="931"/>
      <c r="D53" s="637">
        <f>D12</f>
        <v>1766723961</v>
      </c>
    </row>
    <row r="54" spans="1:4" ht="15" customHeight="1">
      <c r="A54" s="924" t="s">
        <v>754</v>
      </c>
      <c r="B54" s="924"/>
      <c r="C54" s="924"/>
      <c r="D54" s="631">
        <f>D29</f>
        <v>1074622540</v>
      </c>
    </row>
    <row r="55" spans="1:4" ht="15" customHeight="1">
      <c r="A55" s="924" t="s">
        <v>755</v>
      </c>
      <c r="B55" s="924"/>
      <c r="C55" s="924"/>
      <c r="D55" s="631">
        <f>D22+D16</f>
        <v>15049626</v>
      </c>
    </row>
    <row r="56" spans="1:4" ht="15.75" customHeight="1">
      <c r="A56" s="931" t="s">
        <v>756</v>
      </c>
      <c r="B56" s="931"/>
      <c r="C56" s="931"/>
      <c r="D56" s="631">
        <f>D53-D54+D55</f>
        <v>707151047</v>
      </c>
    </row>
    <row r="57" spans="1:4" ht="25.5" customHeight="1">
      <c r="A57" s="924" t="s">
        <v>757</v>
      </c>
      <c r="B57" s="924"/>
      <c r="C57" s="924"/>
      <c r="D57" s="631">
        <f>D30+D33</f>
        <v>85633158</v>
      </c>
    </row>
    <row r="58" spans="1:4" ht="15" customHeight="1">
      <c r="A58" s="931" t="s">
        <v>758</v>
      </c>
      <c r="B58" s="931"/>
      <c r="C58" s="931"/>
      <c r="D58" s="631">
        <f>D56-D57</f>
        <v>621517889</v>
      </c>
    </row>
    <row r="59" spans="1:4" ht="15" customHeight="1">
      <c r="A59" s="924" t="s">
        <v>759</v>
      </c>
      <c r="B59" s="924"/>
      <c r="C59" s="924"/>
      <c r="D59" s="631">
        <f>D31</f>
        <v>686517889</v>
      </c>
    </row>
    <row r="60" spans="1:4" ht="15" customHeight="1">
      <c r="A60" s="931" t="s">
        <v>760</v>
      </c>
      <c r="B60" s="931"/>
      <c r="C60" s="931"/>
      <c r="D60" s="631">
        <f>D58-D59</f>
        <v>-65000000</v>
      </c>
    </row>
    <row r="61" spans="1:4" ht="15" customHeight="1">
      <c r="A61" s="924" t="s">
        <v>761</v>
      </c>
      <c r="B61" s="924"/>
      <c r="C61" s="924"/>
      <c r="D61" s="631">
        <f>D19</f>
        <v>65000000</v>
      </c>
    </row>
    <row r="62" spans="1:4" ht="15" hidden="1" customHeight="1">
      <c r="A62" s="924" t="s">
        <v>762</v>
      </c>
      <c r="B62" s="924"/>
      <c r="C62" s="924"/>
      <c r="D62" s="631">
        <v>0</v>
      </c>
    </row>
    <row r="63" spans="1:4" ht="15" hidden="1" customHeight="1">
      <c r="A63" s="924" t="s">
        <v>763</v>
      </c>
      <c r="B63" s="924"/>
      <c r="C63" s="924"/>
      <c r="D63" s="631">
        <v>0</v>
      </c>
    </row>
    <row r="64" spans="1:4" ht="14.25" customHeight="1">
      <c r="A64" s="932" t="s">
        <v>764</v>
      </c>
      <c r="B64" s="932"/>
      <c r="C64" s="932"/>
      <c r="D64" s="638">
        <f>D60+D61-D62+D63</f>
        <v>0</v>
      </c>
    </row>
    <row r="65" spans="1:4" ht="6.75" hidden="1" customHeight="1" thickBot="1">
      <c r="A65" s="639"/>
      <c r="B65" s="640"/>
      <c r="C65" s="641"/>
      <c r="D65" s="642"/>
    </row>
  </sheetData>
  <sheetProtection algorithmName="SHA-512" hashValue="QBwwd1KiQtgyVAzdJ8ype+UEHY4FCMxQxZcZJHT3MjxiUxt7q30FG87R0VUuUvz61otW7Zlz/K9h7vtZXm+jbA==" saltValue="atlurom5Ptui7QtYLRBHaw==" spinCount="100000" sheet="1" objects="1" scenarios="1"/>
  <mergeCells count="23">
    <mergeCell ref="A61:C61"/>
    <mergeCell ref="A62:C62"/>
    <mergeCell ref="A63:C63"/>
    <mergeCell ref="A64:C64"/>
    <mergeCell ref="A55:C55"/>
    <mergeCell ref="A56:C56"/>
    <mergeCell ref="A57:C57"/>
    <mergeCell ref="A58:C58"/>
    <mergeCell ref="A59:C59"/>
    <mergeCell ref="A60:C60"/>
    <mergeCell ref="A54:C54"/>
    <mergeCell ref="A5:D5"/>
    <mergeCell ref="A6:D6"/>
    <mergeCell ref="A7:C7"/>
    <mergeCell ref="A8:A9"/>
    <mergeCell ref="B8:B9"/>
    <mergeCell ref="C8:C9"/>
    <mergeCell ref="D8:D9"/>
    <mergeCell ref="A48:C48"/>
    <mergeCell ref="A49:C49"/>
    <mergeCell ref="A50:C50"/>
    <mergeCell ref="A51:C51"/>
    <mergeCell ref="A53:C53"/>
  </mergeCells>
  <printOptions horizontalCentered="1"/>
  <pageMargins left="0.51181102362204722" right="0.51181102362204722" top="0.98425196850393704" bottom="0.74803149606299213" header="0.31496062992125984" footer="0.31496062992125984"/>
  <pageSetup paperSize="9" scale="66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6"/>
  <sheetViews>
    <sheetView view="pageBreakPreview" topLeftCell="E1" zoomScaleNormal="100" zoomScaleSheetLayoutView="100" workbookViewId="0">
      <selection activeCell="I25" sqref="I25"/>
    </sheetView>
  </sheetViews>
  <sheetFormatPr defaultColWidth="9" defaultRowHeight="15"/>
  <cols>
    <col min="1" max="1" width="5.375" style="652" customWidth="1"/>
    <col min="2" max="2" width="8.125" style="652" customWidth="1"/>
    <col min="3" max="3" width="9.375" style="652" customWidth="1"/>
    <col min="4" max="4" width="44.125" style="652" customWidth="1"/>
    <col min="5" max="5" width="11.25" style="652" customWidth="1"/>
    <col min="6" max="6" width="9.75" style="652" customWidth="1"/>
    <col min="7" max="7" width="11" style="652" customWidth="1"/>
    <col min="8" max="9" width="14.25" style="652" customWidth="1"/>
    <col min="10" max="10" width="11.375" style="652" customWidth="1"/>
    <col min="11" max="11" width="11.25" style="652" customWidth="1"/>
    <col min="12" max="12" width="10.75" style="652" customWidth="1"/>
    <col min="13" max="13" width="10.875" style="652" customWidth="1"/>
    <col min="14" max="14" width="11.25" style="652" customWidth="1"/>
    <col min="15" max="15" width="11.375" style="652" customWidth="1"/>
    <col min="16" max="20" width="11.125" style="652" customWidth="1"/>
    <col min="21" max="21" width="11.375" style="652" customWidth="1"/>
    <col min="22" max="22" width="11.25" style="652" customWidth="1"/>
    <col min="23" max="23" width="11.125" style="652" customWidth="1"/>
    <col min="24" max="16384" width="9" style="652"/>
  </cols>
  <sheetData>
    <row r="1" spans="1:24" s="649" customFormat="1" ht="12.75">
      <c r="A1" s="659" t="s">
        <v>128</v>
      </c>
      <c r="U1" s="649" t="s">
        <v>808</v>
      </c>
    </row>
    <row r="2" spans="1:24" s="649" customFormat="1" ht="12.75">
      <c r="A2" s="659"/>
      <c r="U2" s="649" t="s">
        <v>809</v>
      </c>
    </row>
    <row r="3" spans="1:24" s="649" customFormat="1" ht="12.75">
      <c r="A3" s="659"/>
      <c r="U3" s="649" t="s">
        <v>766</v>
      </c>
    </row>
    <row r="4" spans="1:24" s="646" customFormat="1" ht="8.25" customHeight="1">
      <c r="A4" s="645"/>
    </row>
    <row r="5" spans="1:24" s="646" customFormat="1" ht="42.75" customHeight="1">
      <c r="A5" s="933" t="s">
        <v>767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</row>
    <row r="6" spans="1:24" s="649" customFormat="1" ht="14.25" customHeight="1">
      <c r="A6" s="658"/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8"/>
      <c r="W6" s="659" t="s">
        <v>15</v>
      </c>
    </row>
    <row r="7" spans="1:24" s="646" customFormat="1" ht="19.5" customHeight="1">
      <c r="A7" s="934" t="s">
        <v>209</v>
      </c>
      <c r="B7" s="937" t="s">
        <v>768</v>
      </c>
      <c r="C7" s="937" t="s">
        <v>769</v>
      </c>
      <c r="D7" s="940" t="s">
        <v>770</v>
      </c>
      <c r="E7" s="940" t="s">
        <v>771</v>
      </c>
      <c r="F7" s="937" t="s">
        <v>772</v>
      </c>
      <c r="G7" s="940" t="s">
        <v>410</v>
      </c>
      <c r="H7" s="943" t="s">
        <v>773</v>
      </c>
      <c r="I7" s="944" t="s">
        <v>774</v>
      </c>
      <c r="J7" s="945" t="s">
        <v>775</v>
      </c>
      <c r="K7" s="945"/>
      <c r="L7" s="945"/>
      <c r="M7" s="945"/>
      <c r="N7" s="945"/>
      <c r="O7" s="945"/>
      <c r="P7" s="945"/>
      <c r="Q7" s="945"/>
      <c r="R7" s="945"/>
      <c r="S7" s="945"/>
      <c r="T7" s="945"/>
      <c r="U7" s="945"/>
      <c r="V7" s="945"/>
      <c r="W7" s="945"/>
    </row>
    <row r="8" spans="1:24" s="646" customFormat="1" ht="18.75" customHeight="1">
      <c r="A8" s="935"/>
      <c r="B8" s="938"/>
      <c r="C8" s="938"/>
      <c r="D8" s="941"/>
      <c r="E8" s="941"/>
      <c r="F8" s="938"/>
      <c r="G8" s="941"/>
      <c r="H8" s="943"/>
      <c r="I8" s="944"/>
      <c r="J8" s="945"/>
      <c r="K8" s="945"/>
      <c r="L8" s="945"/>
      <c r="M8" s="945"/>
      <c r="N8" s="945"/>
      <c r="O8" s="945"/>
      <c r="P8" s="945"/>
      <c r="Q8" s="945"/>
      <c r="R8" s="945"/>
      <c r="S8" s="945"/>
      <c r="T8" s="945"/>
      <c r="U8" s="945"/>
      <c r="V8" s="945"/>
      <c r="W8" s="945"/>
    </row>
    <row r="9" spans="1:24" s="646" customFormat="1" ht="15.75" customHeight="1">
      <c r="A9" s="935"/>
      <c r="B9" s="938"/>
      <c r="C9" s="938"/>
      <c r="D9" s="941"/>
      <c r="E9" s="941"/>
      <c r="F9" s="938"/>
      <c r="G9" s="941"/>
      <c r="H9" s="694" t="s">
        <v>776</v>
      </c>
      <c r="I9" s="694" t="s">
        <v>776</v>
      </c>
      <c r="J9" s="945" t="s">
        <v>777</v>
      </c>
      <c r="K9" s="946" t="s">
        <v>778</v>
      </c>
      <c r="L9" s="946"/>
      <c r="M9" s="946"/>
      <c r="N9" s="947" t="s">
        <v>779</v>
      </c>
      <c r="O9" s="946" t="s">
        <v>780</v>
      </c>
      <c r="P9" s="946"/>
      <c r="Q9" s="946"/>
      <c r="R9" s="946"/>
      <c r="S9" s="946"/>
      <c r="T9" s="946"/>
      <c r="U9" s="946"/>
      <c r="V9" s="946"/>
      <c r="W9" s="946"/>
    </row>
    <row r="10" spans="1:24" s="646" customFormat="1" ht="12.75" customHeight="1">
      <c r="A10" s="935"/>
      <c r="B10" s="938"/>
      <c r="C10" s="938"/>
      <c r="D10" s="941"/>
      <c r="E10" s="941"/>
      <c r="F10" s="938"/>
      <c r="G10" s="941"/>
      <c r="H10" s="694" t="s">
        <v>781</v>
      </c>
      <c r="I10" s="694" t="s">
        <v>781</v>
      </c>
      <c r="J10" s="945"/>
      <c r="K10" s="946"/>
      <c r="L10" s="946"/>
      <c r="M10" s="946"/>
      <c r="N10" s="947"/>
      <c r="O10" s="948" t="s">
        <v>782</v>
      </c>
      <c r="P10" s="948"/>
      <c r="Q10" s="948"/>
      <c r="R10" s="948" t="s">
        <v>783</v>
      </c>
      <c r="S10" s="948"/>
      <c r="T10" s="948"/>
      <c r="U10" s="947" t="s">
        <v>784</v>
      </c>
      <c r="V10" s="947"/>
      <c r="W10" s="947"/>
    </row>
    <row r="11" spans="1:24" s="646" customFormat="1" ht="12.75">
      <c r="A11" s="935"/>
      <c r="B11" s="938"/>
      <c r="C11" s="938"/>
      <c r="D11" s="941"/>
      <c r="E11" s="941"/>
      <c r="F11" s="938"/>
      <c r="G11" s="941"/>
      <c r="H11" s="694" t="s">
        <v>785</v>
      </c>
      <c r="I11" s="694" t="s">
        <v>785</v>
      </c>
      <c r="J11" s="945"/>
      <c r="K11" s="948" t="s">
        <v>17</v>
      </c>
      <c r="L11" s="948" t="s">
        <v>786</v>
      </c>
      <c r="M11" s="948" t="s">
        <v>787</v>
      </c>
      <c r="N11" s="947"/>
      <c r="O11" s="948" t="s">
        <v>17</v>
      </c>
      <c r="P11" s="948" t="s">
        <v>788</v>
      </c>
      <c r="Q11" s="949" t="s">
        <v>787</v>
      </c>
      <c r="R11" s="948" t="s">
        <v>17</v>
      </c>
      <c r="S11" s="948" t="s">
        <v>788</v>
      </c>
      <c r="T11" s="949" t="s">
        <v>787</v>
      </c>
      <c r="U11" s="947" t="s">
        <v>17</v>
      </c>
      <c r="V11" s="948" t="s">
        <v>788</v>
      </c>
      <c r="W11" s="949" t="s">
        <v>787</v>
      </c>
    </row>
    <row r="12" spans="1:24" s="646" customFormat="1" ht="12.75">
      <c r="A12" s="936"/>
      <c r="B12" s="939"/>
      <c r="C12" s="939"/>
      <c r="D12" s="942"/>
      <c r="E12" s="942"/>
      <c r="F12" s="939"/>
      <c r="G12" s="942"/>
      <c r="H12" s="694" t="s">
        <v>784</v>
      </c>
      <c r="I12" s="694" t="s">
        <v>784</v>
      </c>
      <c r="J12" s="945"/>
      <c r="K12" s="948"/>
      <c r="L12" s="948"/>
      <c r="M12" s="948"/>
      <c r="N12" s="947"/>
      <c r="O12" s="948"/>
      <c r="P12" s="948"/>
      <c r="Q12" s="949"/>
      <c r="R12" s="948"/>
      <c r="S12" s="948"/>
      <c r="T12" s="949"/>
      <c r="U12" s="947"/>
      <c r="V12" s="948"/>
      <c r="W12" s="949"/>
    </row>
    <row r="13" spans="1:24" s="648" customFormat="1" ht="11.25">
      <c r="A13" s="647">
        <v>1</v>
      </c>
      <c r="B13" s="647">
        <v>2</v>
      </c>
      <c r="C13" s="647">
        <v>3</v>
      </c>
      <c r="D13" s="647">
        <v>4</v>
      </c>
      <c r="E13" s="647">
        <v>5</v>
      </c>
      <c r="F13" s="647">
        <v>6</v>
      </c>
      <c r="G13" s="647">
        <v>7</v>
      </c>
      <c r="H13" s="647">
        <v>8</v>
      </c>
      <c r="I13" s="647" t="s">
        <v>789</v>
      </c>
      <c r="J13" s="647" t="s">
        <v>790</v>
      </c>
      <c r="K13" s="647" t="s">
        <v>791</v>
      </c>
      <c r="L13" s="647">
        <v>11</v>
      </c>
      <c r="M13" s="647">
        <v>12</v>
      </c>
      <c r="N13" s="647" t="s">
        <v>792</v>
      </c>
      <c r="O13" s="647" t="s">
        <v>793</v>
      </c>
      <c r="P13" s="647">
        <v>15</v>
      </c>
      <c r="Q13" s="647">
        <v>16</v>
      </c>
      <c r="R13" s="647" t="s">
        <v>794</v>
      </c>
      <c r="S13" s="647">
        <v>18</v>
      </c>
      <c r="T13" s="647">
        <v>19</v>
      </c>
      <c r="U13" s="647" t="s">
        <v>795</v>
      </c>
      <c r="V13" s="647">
        <v>21</v>
      </c>
      <c r="W13" s="647">
        <v>22</v>
      </c>
    </row>
    <row r="14" spans="1:24" s="649" customFormat="1" ht="5.25" customHeight="1">
      <c r="A14" s="950"/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</row>
    <row r="15" spans="1:24" s="648" customFormat="1" ht="21.75" customHeight="1">
      <c r="A15" s="951" t="s">
        <v>796</v>
      </c>
      <c r="B15" s="952"/>
      <c r="C15" s="952"/>
      <c r="D15" s="952"/>
      <c r="E15" s="952"/>
      <c r="F15" s="952"/>
      <c r="G15" s="952"/>
      <c r="H15" s="952"/>
      <c r="I15" s="952"/>
      <c r="J15" s="952"/>
      <c r="K15" s="952"/>
      <c r="L15" s="952"/>
      <c r="M15" s="952"/>
      <c r="N15" s="952"/>
      <c r="O15" s="952"/>
      <c r="P15" s="952"/>
      <c r="Q15" s="952"/>
      <c r="R15" s="952"/>
      <c r="S15" s="952"/>
      <c r="T15" s="952"/>
      <c r="U15" s="952"/>
      <c r="V15" s="952"/>
      <c r="W15" s="953"/>
      <c r="X15" s="650"/>
    </row>
    <row r="16" spans="1:24" s="649" customFormat="1" ht="5.25" customHeight="1">
      <c r="A16" s="950"/>
      <c r="B16" s="950"/>
      <c r="C16" s="950"/>
      <c r="D16" s="950"/>
      <c r="E16" s="950"/>
      <c r="F16" s="950"/>
      <c r="G16" s="950"/>
      <c r="H16" s="950"/>
      <c r="I16" s="950"/>
      <c r="J16" s="950"/>
      <c r="K16" s="950"/>
      <c r="L16" s="950"/>
      <c r="M16" s="950"/>
      <c r="N16" s="950"/>
      <c r="O16" s="950"/>
      <c r="P16" s="950"/>
      <c r="Q16" s="950"/>
      <c r="R16" s="950"/>
      <c r="S16" s="950"/>
      <c r="T16" s="950"/>
      <c r="U16" s="950"/>
      <c r="V16" s="950"/>
      <c r="W16" s="950"/>
    </row>
    <row r="17" spans="1:23" ht="15" customHeight="1">
      <c r="A17" s="950">
        <v>1</v>
      </c>
      <c r="B17" s="956" t="s">
        <v>797</v>
      </c>
      <c r="C17" s="957" t="s">
        <v>798</v>
      </c>
      <c r="D17" s="960" t="s">
        <v>799</v>
      </c>
      <c r="E17" s="961" t="s">
        <v>800</v>
      </c>
      <c r="F17" s="961" t="s">
        <v>801</v>
      </c>
      <c r="G17" s="961" t="s">
        <v>802</v>
      </c>
      <c r="H17" s="651" t="s">
        <v>421</v>
      </c>
      <c r="I17" s="651" t="s">
        <v>421</v>
      </c>
      <c r="J17" s="955">
        <f>K17+N17</f>
        <v>8729000</v>
      </c>
      <c r="K17" s="955">
        <f>L17+M17</f>
        <v>0</v>
      </c>
      <c r="L17" s="954">
        <v>0</v>
      </c>
      <c r="M17" s="954">
        <v>0</v>
      </c>
      <c r="N17" s="955">
        <f>O17+R17+U17</f>
        <v>8729000</v>
      </c>
      <c r="O17" s="955">
        <f>P17+Q17</f>
        <v>8729000</v>
      </c>
      <c r="P17" s="954">
        <v>481000</v>
      </c>
      <c r="Q17" s="954">
        <v>8248000</v>
      </c>
      <c r="R17" s="955">
        <f>S17+T17</f>
        <v>0</v>
      </c>
      <c r="S17" s="954">
        <v>0</v>
      </c>
      <c r="T17" s="954">
        <v>0</v>
      </c>
      <c r="U17" s="955">
        <f>V17+W17</f>
        <v>0</v>
      </c>
      <c r="V17" s="954">
        <v>0</v>
      </c>
      <c r="W17" s="954">
        <v>0</v>
      </c>
    </row>
    <row r="18" spans="1:23" ht="15" customHeight="1">
      <c r="A18" s="950"/>
      <c r="B18" s="956"/>
      <c r="C18" s="958"/>
      <c r="D18" s="960"/>
      <c r="E18" s="961"/>
      <c r="F18" s="961"/>
      <c r="G18" s="961"/>
      <c r="H18" s="651" t="s">
        <v>421</v>
      </c>
      <c r="I18" s="651" t="s">
        <v>421</v>
      </c>
      <c r="J18" s="955"/>
      <c r="K18" s="955"/>
      <c r="L18" s="954"/>
      <c r="M18" s="954"/>
      <c r="N18" s="955"/>
      <c r="O18" s="955"/>
      <c r="P18" s="954"/>
      <c r="Q18" s="954"/>
      <c r="R18" s="955"/>
      <c r="S18" s="954"/>
      <c r="T18" s="954"/>
      <c r="U18" s="955"/>
      <c r="V18" s="954"/>
      <c r="W18" s="954"/>
    </row>
    <row r="19" spans="1:23" ht="15" customHeight="1">
      <c r="A19" s="950"/>
      <c r="B19" s="956"/>
      <c r="C19" s="958"/>
      <c r="D19" s="960"/>
      <c r="E19" s="961"/>
      <c r="F19" s="961"/>
      <c r="G19" s="961"/>
      <c r="H19" s="651" t="s">
        <v>421</v>
      </c>
      <c r="I19" s="651" t="s">
        <v>421</v>
      </c>
      <c r="J19" s="955"/>
      <c r="K19" s="955"/>
      <c r="L19" s="954"/>
      <c r="M19" s="954"/>
      <c r="N19" s="955"/>
      <c r="O19" s="955"/>
      <c r="P19" s="954"/>
      <c r="Q19" s="954"/>
      <c r="R19" s="955"/>
      <c r="S19" s="954"/>
      <c r="T19" s="954"/>
      <c r="U19" s="955"/>
      <c r="V19" s="954"/>
      <c r="W19" s="954"/>
    </row>
    <row r="20" spans="1:23" ht="15" customHeight="1">
      <c r="A20" s="950"/>
      <c r="B20" s="956"/>
      <c r="C20" s="958"/>
      <c r="D20" s="960"/>
      <c r="E20" s="961"/>
      <c r="F20" s="961"/>
      <c r="G20" s="961"/>
      <c r="H20" s="651" t="s">
        <v>421</v>
      </c>
      <c r="I20" s="651" t="s">
        <v>421</v>
      </c>
      <c r="J20" s="955"/>
      <c r="K20" s="955"/>
      <c r="L20" s="954"/>
      <c r="M20" s="954"/>
      <c r="N20" s="955"/>
      <c r="O20" s="955"/>
      <c r="P20" s="954"/>
      <c r="Q20" s="954"/>
      <c r="R20" s="955"/>
      <c r="S20" s="954"/>
      <c r="T20" s="954"/>
      <c r="U20" s="955"/>
      <c r="V20" s="954"/>
      <c r="W20" s="954"/>
    </row>
    <row r="21" spans="1:23" ht="15" customHeight="1">
      <c r="A21" s="950"/>
      <c r="B21" s="956"/>
      <c r="C21" s="959"/>
      <c r="D21" s="960"/>
      <c r="E21" s="961"/>
      <c r="F21" s="961"/>
      <c r="G21" s="961"/>
      <c r="H21" s="651" t="s">
        <v>421</v>
      </c>
      <c r="I21" s="651" t="s">
        <v>421</v>
      </c>
      <c r="J21" s="955"/>
      <c r="K21" s="955"/>
      <c r="L21" s="954"/>
      <c r="M21" s="954"/>
      <c r="N21" s="955"/>
      <c r="O21" s="955"/>
      <c r="P21" s="954"/>
      <c r="Q21" s="954"/>
      <c r="R21" s="955"/>
      <c r="S21" s="954"/>
      <c r="T21" s="954"/>
      <c r="U21" s="955"/>
      <c r="V21" s="954"/>
      <c r="W21" s="954"/>
    </row>
    <row r="22" spans="1:23" ht="14.25" customHeight="1">
      <c r="A22" s="950">
        <v>2</v>
      </c>
      <c r="B22" s="956" t="s">
        <v>803</v>
      </c>
      <c r="C22" s="962" t="s">
        <v>804</v>
      </c>
      <c r="D22" s="960" t="s">
        <v>805</v>
      </c>
      <c r="E22" s="961" t="s">
        <v>424</v>
      </c>
      <c r="F22" s="961" t="s">
        <v>806</v>
      </c>
      <c r="G22" s="961" t="s">
        <v>802</v>
      </c>
      <c r="H22" s="651" t="s">
        <v>421</v>
      </c>
      <c r="I22" s="651" t="s">
        <v>421</v>
      </c>
      <c r="J22" s="955">
        <f>K22+N22</f>
        <v>2590000</v>
      </c>
      <c r="K22" s="955">
        <f>L22+M22</f>
        <v>0</v>
      </c>
      <c r="L22" s="954">
        <v>0</v>
      </c>
      <c r="M22" s="954">
        <v>0</v>
      </c>
      <c r="N22" s="955">
        <f>O22+R22+U22</f>
        <v>2590000</v>
      </c>
      <c r="O22" s="955">
        <f>P22+Q22</f>
        <v>2590000</v>
      </c>
      <c r="P22" s="954">
        <v>2590000</v>
      </c>
      <c r="Q22" s="954">
        <v>0</v>
      </c>
      <c r="R22" s="955">
        <f>S22+T22</f>
        <v>0</v>
      </c>
      <c r="S22" s="954">
        <v>0</v>
      </c>
      <c r="T22" s="954">
        <v>0</v>
      </c>
      <c r="U22" s="955">
        <f>V22+W22</f>
        <v>0</v>
      </c>
      <c r="V22" s="954">
        <v>0</v>
      </c>
      <c r="W22" s="954">
        <v>0</v>
      </c>
    </row>
    <row r="23" spans="1:23" ht="14.25" customHeight="1">
      <c r="A23" s="950"/>
      <c r="B23" s="956"/>
      <c r="C23" s="962"/>
      <c r="D23" s="960"/>
      <c r="E23" s="961"/>
      <c r="F23" s="961"/>
      <c r="G23" s="961"/>
      <c r="H23" s="651" t="s">
        <v>421</v>
      </c>
      <c r="I23" s="651" t="s">
        <v>421</v>
      </c>
      <c r="J23" s="955"/>
      <c r="K23" s="955"/>
      <c r="L23" s="954"/>
      <c r="M23" s="954"/>
      <c r="N23" s="955"/>
      <c r="O23" s="955"/>
      <c r="P23" s="954"/>
      <c r="Q23" s="954"/>
      <c r="R23" s="955"/>
      <c r="S23" s="954"/>
      <c r="T23" s="954"/>
      <c r="U23" s="955"/>
      <c r="V23" s="954"/>
      <c r="W23" s="954"/>
    </row>
    <row r="24" spans="1:23" ht="14.25" customHeight="1">
      <c r="A24" s="950"/>
      <c r="B24" s="956"/>
      <c r="C24" s="962"/>
      <c r="D24" s="960"/>
      <c r="E24" s="961"/>
      <c r="F24" s="961"/>
      <c r="G24" s="961"/>
      <c r="H24" s="651" t="s">
        <v>421</v>
      </c>
      <c r="I24" s="651" t="s">
        <v>421</v>
      </c>
      <c r="J24" s="955"/>
      <c r="K24" s="955"/>
      <c r="L24" s="954"/>
      <c r="M24" s="954"/>
      <c r="N24" s="955"/>
      <c r="O24" s="955"/>
      <c r="P24" s="954"/>
      <c r="Q24" s="954"/>
      <c r="R24" s="955"/>
      <c r="S24" s="954"/>
      <c r="T24" s="954"/>
      <c r="U24" s="955"/>
      <c r="V24" s="954"/>
      <c r="W24" s="954"/>
    </row>
    <row r="25" spans="1:23" ht="14.25" customHeight="1">
      <c r="A25" s="950"/>
      <c r="B25" s="956"/>
      <c r="C25" s="962"/>
      <c r="D25" s="960"/>
      <c r="E25" s="961"/>
      <c r="F25" s="961"/>
      <c r="G25" s="961"/>
      <c r="H25" s="651" t="s">
        <v>421</v>
      </c>
      <c r="I25" s="651" t="s">
        <v>421</v>
      </c>
      <c r="J25" s="955"/>
      <c r="K25" s="955"/>
      <c r="L25" s="954"/>
      <c r="M25" s="954"/>
      <c r="N25" s="955"/>
      <c r="O25" s="955"/>
      <c r="P25" s="954"/>
      <c r="Q25" s="954"/>
      <c r="R25" s="955"/>
      <c r="S25" s="954"/>
      <c r="T25" s="954"/>
      <c r="U25" s="955"/>
      <c r="V25" s="954"/>
      <c r="W25" s="954"/>
    </row>
    <row r="26" spans="1:23" ht="14.25" customHeight="1">
      <c r="A26" s="950"/>
      <c r="B26" s="956"/>
      <c r="C26" s="962"/>
      <c r="D26" s="960"/>
      <c r="E26" s="961"/>
      <c r="F26" s="961"/>
      <c r="G26" s="961"/>
      <c r="H26" s="651" t="s">
        <v>421</v>
      </c>
      <c r="I26" s="651" t="s">
        <v>421</v>
      </c>
      <c r="J26" s="955"/>
      <c r="K26" s="955"/>
      <c r="L26" s="954"/>
      <c r="M26" s="954"/>
      <c r="N26" s="955"/>
      <c r="O26" s="955"/>
      <c r="P26" s="954"/>
      <c r="Q26" s="954"/>
      <c r="R26" s="955"/>
      <c r="S26" s="954"/>
      <c r="T26" s="954"/>
      <c r="U26" s="955"/>
      <c r="V26" s="954"/>
      <c r="W26" s="954"/>
    </row>
    <row r="27" spans="1:23" s="653" customFormat="1" ht="14.25" customHeight="1">
      <c r="A27" s="963" t="s">
        <v>807</v>
      </c>
      <c r="B27" s="963"/>
      <c r="C27" s="963"/>
      <c r="D27" s="963"/>
      <c r="E27" s="963"/>
      <c r="F27" s="963"/>
      <c r="G27" s="963"/>
      <c r="H27" s="651" t="s">
        <v>421</v>
      </c>
      <c r="I27" s="651" t="s">
        <v>421</v>
      </c>
      <c r="J27" s="964">
        <f t="shared" ref="J27:W27" si="0">SUM(J17:J26)</f>
        <v>11319000</v>
      </c>
      <c r="K27" s="964">
        <f t="shared" si="0"/>
        <v>0</v>
      </c>
      <c r="L27" s="964">
        <f t="shared" si="0"/>
        <v>0</v>
      </c>
      <c r="M27" s="964">
        <f t="shared" si="0"/>
        <v>0</v>
      </c>
      <c r="N27" s="964">
        <f t="shared" si="0"/>
        <v>11319000</v>
      </c>
      <c r="O27" s="964">
        <f t="shared" si="0"/>
        <v>11319000</v>
      </c>
      <c r="P27" s="964">
        <f t="shared" si="0"/>
        <v>3071000</v>
      </c>
      <c r="Q27" s="964">
        <f t="shared" si="0"/>
        <v>8248000</v>
      </c>
      <c r="R27" s="964">
        <f t="shared" si="0"/>
        <v>0</v>
      </c>
      <c r="S27" s="964">
        <f t="shared" si="0"/>
        <v>0</v>
      </c>
      <c r="T27" s="964">
        <f t="shared" si="0"/>
        <v>0</v>
      </c>
      <c r="U27" s="964">
        <f t="shared" si="0"/>
        <v>0</v>
      </c>
      <c r="V27" s="964">
        <f t="shared" si="0"/>
        <v>0</v>
      </c>
      <c r="W27" s="964">
        <f t="shared" si="0"/>
        <v>0</v>
      </c>
    </row>
    <row r="28" spans="1:23" s="654" customFormat="1" ht="14.25" customHeight="1">
      <c r="A28" s="963"/>
      <c r="B28" s="963"/>
      <c r="C28" s="963"/>
      <c r="D28" s="963"/>
      <c r="E28" s="963"/>
      <c r="F28" s="963"/>
      <c r="G28" s="963"/>
      <c r="H28" s="651" t="s">
        <v>421</v>
      </c>
      <c r="I28" s="651" t="s">
        <v>421</v>
      </c>
      <c r="J28" s="964"/>
      <c r="K28" s="964"/>
      <c r="L28" s="964"/>
      <c r="M28" s="964"/>
      <c r="N28" s="964"/>
      <c r="O28" s="964"/>
      <c r="P28" s="964"/>
      <c r="Q28" s="964"/>
      <c r="R28" s="964"/>
      <c r="S28" s="964"/>
      <c r="T28" s="964"/>
      <c r="U28" s="964"/>
      <c r="V28" s="964"/>
      <c r="W28" s="964"/>
    </row>
    <row r="29" spans="1:23" s="654" customFormat="1" ht="14.25" customHeight="1">
      <c r="A29" s="963"/>
      <c r="B29" s="963"/>
      <c r="C29" s="963"/>
      <c r="D29" s="963"/>
      <c r="E29" s="963"/>
      <c r="F29" s="963"/>
      <c r="G29" s="963"/>
      <c r="H29" s="651" t="s">
        <v>421</v>
      </c>
      <c r="I29" s="651" t="s">
        <v>421</v>
      </c>
      <c r="J29" s="964"/>
      <c r="K29" s="964"/>
      <c r="L29" s="964"/>
      <c r="M29" s="964"/>
      <c r="N29" s="964"/>
      <c r="O29" s="964"/>
      <c r="P29" s="964"/>
      <c r="Q29" s="964"/>
      <c r="R29" s="964"/>
      <c r="S29" s="964"/>
      <c r="T29" s="964"/>
      <c r="U29" s="964"/>
      <c r="V29" s="964"/>
      <c r="W29" s="964"/>
    </row>
    <row r="30" spans="1:23" s="654" customFormat="1" ht="14.25" customHeight="1">
      <c r="A30" s="963"/>
      <c r="B30" s="963"/>
      <c r="C30" s="963"/>
      <c r="D30" s="963"/>
      <c r="E30" s="963"/>
      <c r="F30" s="963"/>
      <c r="G30" s="963"/>
      <c r="H30" s="651" t="s">
        <v>421</v>
      </c>
      <c r="I30" s="651" t="s">
        <v>421</v>
      </c>
      <c r="J30" s="964"/>
      <c r="K30" s="964"/>
      <c r="L30" s="964"/>
      <c r="M30" s="964"/>
      <c r="N30" s="964"/>
      <c r="O30" s="964"/>
      <c r="P30" s="964"/>
      <c r="Q30" s="964"/>
      <c r="R30" s="964"/>
      <c r="S30" s="964"/>
      <c r="T30" s="964"/>
      <c r="U30" s="964"/>
      <c r="V30" s="964"/>
      <c r="W30" s="964"/>
    </row>
    <row r="31" spans="1:23" s="654" customFormat="1" ht="14.25" customHeight="1">
      <c r="A31" s="963"/>
      <c r="B31" s="963"/>
      <c r="C31" s="963"/>
      <c r="D31" s="963"/>
      <c r="E31" s="963"/>
      <c r="F31" s="963"/>
      <c r="G31" s="963"/>
      <c r="H31" s="651" t="s">
        <v>421</v>
      </c>
      <c r="I31" s="651" t="s">
        <v>421</v>
      </c>
      <c r="J31" s="964"/>
      <c r="K31" s="964"/>
      <c r="L31" s="964"/>
      <c r="M31" s="964"/>
      <c r="N31" s="964"/>
      <c r="O31" s="964"/>
      <c r="P31" s="964"/>
      <c r="Q31" s="964"/>
      <c r="R31" s="964"/>
      <c r="S31" s="964"/>
      <c r="T31" s="964"/>
      <c r="U31" s="964"/>
      <c r="V31" s="964"/>
      <c r="W31" s="964"/>
    </row>
    <row r="32" spans="1:23" s="656" customFormat="1" ht="19.5" customHeight="1">
      <c r="A32" s="965" t="s">
        <v>779</v>
      </c>
      <c r="B32" s="965"/>
      <c r="C32" s="965"/>
      <c r="D32" s="965"/>
      <c r="E32" s="965"/>
      <c r="F32" s="965"/>
      <c r="G32" s="965"/>
      <c r="H32" s="655" t="s">
        <v>421</v>
      </c>
      <c r="I32" s="655" t="s">
        <v>421</v>
      </c>
      <c r="J32" s="966">
        <f>J27</f>
        <v>11319000</v>
      </c>
      <c r="K32" s="966">
        <f t="shared" ref="K32:W32" si="1">K27</f>
        <v>0</v>
      </c>
      <c r="L32" s="966">
        <f t="shared" si="1"/>
        <v>0</v>
      </c>
      <c r="M32" s="966">
        <f t="shared" si="1"/>
        <v>0</v>
      </c>
      <c r="N32" s="966">
        <f t="shared" si="1"/>
        <v>11319000</v>
      </c>
      <c r="O32" s="966">
        <f t="shared" si="1"/>
        <v>11319000</v>
      </c>
      <c r="P32" s="966">
        <f t="shared" si="1"/>
        <v>3071000</v>
      </c>
      <c r="Q32" s="966">
        <f t="shared" si="1"/>
        <v>8248000</v>
      </c>
      <c r="R32" s="966">
        <f t="shared" si="1"/>
        <v>0</v>
      </c>
      <c r="S32" s="966">
        <f t="shared" si="1"/>
        <v>0</v>
      </c>
      <c r="T32" s="966">
        <f t="shared" si="1"/>
        <v>0</v>
      </c>
      <c r="U32" s="966">
        <f t="shared" si="1"/>
        <v>0</v>
      </c>
      <c r="V32" s="966">
        <f t="shared" si="1"/>
        <v>0</v>
      </c>
      <c r="W32" s="966">
        <f t="shared" si="1"/>
        <v>0</v>
      </c>
    </row>
    <row r="33" spans="1:23" s="657" customFormat="1" ht="19.5" customHeight="1">
      <c r="A33" s="965"/>
      <c r="B33" s="965"/>
      <c r="C33" s="965"/>
      <c r="D33" s="965"/>
      <c r="E33" s="965"/>
      <c r="F33" s="965"/>
      <c r="G33" s="965"/>
      <c r="H33" s="655" t="s">
        <v>421</v>
      </c>
      <c r="I33" s="655" t="s">
        <v>421</v>
      </c>
      <c r="J33" s="966"/>
      <c r="K33" s="966"/>
      <c r="L33" s="966"/>
      <c r="M33" s="966"/>
      <c r="N33" s="966"/>
      <c r="O33" s="966"/>
      <c r="P33" s="966"/>
      <c r="Q33" s="966"/>
      <c r="R33" s="966"/>
      <c r="S33" s="966"/>
      <c r="T33" s="966"/>
      <c r="U33" s="966"/>
      <c r="V33" s="966"/>
      <c r="W33" s="966"/>
    </row>
    <row r="34" spans="1:23" s="657" customFormat="1" ht="19.5" customHeight="1">
      <c r="A34" s="965"/>
      <c r="B34" s="965"/>
      <c r="C34" s="965"/>
      <c r="D34" s="965"/>
      <c r="E34" s="965"/>
      <c r="F34" s="965"/>
      <c r="G34" s="965"/>
      <c r="H34" s="655" t="s">
        <v>421</v>
      </c>
      <c r="I34" s="655" t="s">
        <v>421</v>
      </c>
      <c r="J34" s="966"/>
      <c r="K34" s="966"/>
      <c r="L34" s="966"/>
      <c r="M34" s="966"/>
      <c r="N34" s="966"/>
      <c r="O34" s="966"/>
      <c r="P34" s="966"/>
      <c r="Q34" s="966"/>
      <c r="R34" s="966"/>
      <c r="S34" s="966"/>
      <c r="T34" s="966"/>
      <c r="U34" s="966"/>
      <c r="V34" s="966"/>
      <c r="W34" s="966"/>
    </row>
    <row r="35" spans="1:23" s="657" customFormat="1" ht="19.5" customHeight="1">
      <c r="A35" s="965"/>
      <c r="B35" s="965"/>
      <c r="C35" s="965"/>
      <c r="D35" s="965"/>
      <c r="E35" s="965"/>
      <c r="F35" s="965"/>
      <c r="G35" s="965"/>
      <c r="H35" s="655" t="s">
        <v>421</v>
      </c>
      <c r="I35" s="655" t="s">
        <v>421</v>
      </c>
      <c r="J35" s="966"/>
      <c r="K35" s="966"/>
      <c r="L35" s="966"/>
      <c r="M35" s="966"/>
      <c r="N35" s="966"/>
      <c r="O35" s="966"/>
      <c r="P35" s="966"/>
      <c r="Q35" s="966"/>
      <c r="R35" s="966"/>
      <c r="S35" s="966"/>
      <c r="T35" s="966"/>
      <c r="U35" s="966"/>
      <c r="V35" s="966"/>
      <c r="W35" s="966"/>
    </row>
    <row r="36" spans="1:23" s="657" customFormat="1" ht="19.5" customHeight="1">
      <c r="A36" s="965"/>
      <c r="B36" s="965"/>
      <c r="C36" s="965"/>
      <c r="D36" s="965"/>
      <c r="E36" s="965"/>
      <c r="F36" s="965"/>
      <c r="G36" s="965"/>
      <c r="H36" s="655" t="s">
        <v>421</v>
      </c>
      <c r="I36" s="655" t="s">
        <v>421</v>
      </c>
      <c r="J36" s="966"/>
      <c r="K36" s="966"/>
      <c r="L36" s="966"/>
      <c r="M36" s="966"/>
      <c r="N36" s="966"/>
      <c r="O36" s="966"/>
      <c r="P36" s="966"/>
      <c r="Q36" s="966"/>
      <c r="R36" s="966"/>
      <c r="S36" s="966"/>
      <c r="T36" s="966"/>
      <c r="U36" s="966"/>
      <c r="V36" s="966"/>
      <c r="W36" s="966"/>
    </row>
  </sheetData>
  <sheetProtection algorithmName="SHA-512" hashValue="qzkolFErQaGsVnvpxtl/KrfLcLuxr6igtAstD9WmPQ6jc9JeTw4gYr5NlQJ/Lmevi2q5llPN1ifGkosgpSqdFA==" saltValue="rSO0eW2RUzL895NcGYUhXg==" spinCount="100000" sheet="1" objects="1" scenarios="1"/>
  <mergeCells count="105">
    <mergeCell ref="W32:W36"/>
    <mergeCell ref="Q32:Q36"/>
    <mergeCell ref="R32:R36"/>
    <mergeCell ref="S32:S36"/>
    <mergeCell ref="T32:T36"/>
    <mergeCell ref="U32:U36"/>
    <mergeCell ref="V32:V36"/>
    <mergeCell ref="V27:V31"/>
    <mergeCell ref="W27:W31"/>
    <mergeCell ref="Q27:Q31"/>
    <mergeCell ref="R27:R31"/>
    <mergeCell ref="S27:S31"/>
    <mergeCell ref="T27:T31"/>
    <mergeCell ref="U27:U31"/>
    <mergeCell ref="B22:B26"/>
    <mergeCell ref="A32:G36"/>
    <mergeCell ref="J32:J36"/>
    <mergeCell ref="K32:K36"/>
    <mergeCell ref="L32:L36"/>
    <mergeCell ref="M32:M36"/>
    <mergeCell ref="N32:N36"/>
    <mergeCell ref="O32:O36"/>
    <mergeCell ref="P32:P36"/>
    <mergeCell ref="P27:P31"/>
    <mergeCell ref="V17:V21"/>
    <mergeCell ref="U22:U26"/>
    <mergeCell ref="V22:V26"/>
    <mergeCell ref="W22:W26"/>
    <mergeCell ref="A27:G31"/>
    <mergeCell ref="J27:J31"/>
    <mergeCell ref="K27:K31"/>
    <mergeCell ref="L27:L31"/>
    <mergeCell ref="M27:M31"/>
    <mergeCell ref="N27:N31"/>
    <mergeCell ref="O27:O31"/>
    <mergeCell ref="O22:O26"/>
    <mergeCell ref="P22:P26"/>
    <mergeCell ref="Q22:Q26"/>
    <mergeCell ref="R22:R26"/>
    <mergeCell ref="S22:S26"/>
    <mergeCell ref="T22:T26"/>
    <mergeCell ref="G22:G26"/>
    <mergeCell ref="J22:J26"/>
    <mergeCell ref="K22:K26"/>
    <mergeCell ref="L22:L26"/>
    <mergeCell ref="M22:M26"/>
    <mergeCell ref="N22:N26"/>
    <mergeCell ref="A22:A26"/>
    <mergeCell ref="K17:K21"/>
    <mergeCell ref="C22:C26"/>
    <mergeCell ref="D22:D26"/>
    <mergeCell ref="E22:E26"/>
    <mergeCell ref="F22:F26"/>
    <mergeCell ref="R17:R21"/>
    <mergeCell ref="S17:S21"/>
    <mergeCell ref="T17:T21"/>
    <mergeCell ref="U17:U21"/>
    <mergeCell ref="A14:W14"/>
    <mergeCell ref="A15:W15"/>
    <mergeCell ref="M11:M12"/>
    <mergeCell ref="O11:O12"/>
    <mergeCell ref="P11:P12"/>
    <mergeCell ref="Q11:Q12"/>
    <mergeCell ref="R11:R12"/>
    <mergeCell ref="S11:S12"/>
    <mergeCell ref="W17:W21"/>
    <mergeCell ref="L17:L21"/>
    <mergeCell ref="M17:M21"/>
    <mergeCell ref="N17:N21"/>
    <mergeCell ref="O17:O21"/>
    <mergeCell ref="P17:P21"/>
    <mergeCell ref="Q17:Q21"/>
    <mergeCell ref="A16:W16"/>
    <mergeCell ref="A17:A21"/>
    <mergeCell ref="B17:B21"/>
    <mergeCell ref="C17:C21"/>
    <mergeCell ref="D17:D21"/>
    <mergeCell ref="E17:E21"/>
    <mergeCell ref="F17:F21"/>
    <mergeCell ref="G17:G21"/>
    <mergeCell ref="J17:J21"/>
    <mergeCell ref="A5:W5"/>
    <mergeCell ref="A7:A12"/>
    <mergeCell ref="B7:B12"/>
    <mergeCell ref="C7:C12"/>
    <mergeCell ref="D7:D12"/>
    <mergeCell ref="E7:E12"/>
    <mergeCell ref="F7:F12"/>
    <mergeCell ref="G7:G12"/>
    <mergeCell ref="H7:H8"/>
    <mergeCell ref="I7:I8"/>
    <mergeCell ref="J7:W8"/>
    <mergeCell ref="J9:J12"/>
    <mergeCell ref="K9:M10"/>
    <mergeCell ref="N9:N12"/>
    <mergeCell ref="O9:W9"/>
    <mergeCell ref="O10:Q10"/>
    <mergeCell ref="R10:T10"/>
    <mergeCell ref="U10:W10"/>
    <mergeCell ref="K11:K12"/>
    <mergeCell ref="L11:L12"/>
    <mergeCell ref="T11:T12"/>
    <mergeCell ref="U11:U12"/>
    <mergeCell ref="V11:V12"/>
    <mergeCell ref="W11:W12"/>
  </mergeCells>
  <printOptions horizontalCentered="1"/>
  <pageMargins left="0.31496062992125984" right="0.27559055118110237" top="0.98425196850393704" bottom="0.74803149606299213" header="0.31496062992125984" footer="0.31496062992125984"/>
  <pageSetup paperSize="9" scale="4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12"/>
  <sheetViews>
    <sheetView view="pageBreakPreview" topLeftCell="J1" zoomScaleNormal="100" zoomScaleSheetLayoutView="100" workbookViewId="0">
      <selection activeCell="N22" sqref="N22:N26"/>
    </sheetView>
  </sheetViews>
  <sheetFormatPr defaultRowHeight="15" outlineLevelCol="3"/>
  <cols>
    <col min="1" max="1" width="5.375" style="664" customWidth="1"/>
    <col min="2" max="2" width="10.125" style="664" customWidth="1"/>
    <col min="3" max="3" width="43.875" style="664" customWidth="1"/>
    <col min="4" max="4" width="11.625" style="664" customWidth="1"/>
    <col min="5" max="5" width="10.375" style="664" customWidth="1"/>
    <col min="6" max="6" width="11" style="664" customWidth="1"/>
    <col min="7" max="7" width="12.125" style="662" customWidth="1" outlineLevel="3" collapsed="1"/>
    <col min="8" max="8" width="12.125" style="664" customWidth="1"/>
    <col min="9" max="9" width="12.875" style="664" customWidth="1"/>
    <col min="10" max="11" width="12.125" style="664" customWidth="1"/>
    <col min="12" max="12" width="11.375" style="664" customWidth="1"/>
    <col min="13" max="14" width="11.875" style="664" customWidth="1"/>
    <col min="15" max="15" width="11.75" style="664" customWidth="1"/>
    <col min="16" max="16" width="11.375" style="664" customWidth="1"/>
    <col min="17" max="17" width="11.875" style="664" customWidth="1"/>
    <col min="18" max="18" width="11.375" style="664" customWidth="1"/>
    <col min="19" max="19" width="10.375" style="664" customWidth="1"/>
    <col min="20" max="20" width="12.875" style="664" customWidth="1"/>
    <col min="21" max="21" width="11.75" style="664" customWidth="1"/>
    <col min="22" max="22" width="11" style="664" customWidth="1"/>
    <col min="23" max="256" width="9" style="664"/>
    <col min="257" max="257" width="5.375" style="664" customWidth="1"/>
    <col min="258" max="258" width="10.125" style="664" customWidth="1"/>
    <col min="259" max="259" width="43.875" style="664" customWidth="1"/>
    <col min="260" max="260" width="11.625" style="664" customWidth="1"/>
    <col min="261" max="261" width="10.375" style="664" customWidth="1"/>
    <col min="262" max="262" width="11" style="664" customWidth="1"/>
    <col min="263" max="264" width="12.125" style="664" customWidth="1"/>
    <col min="265" max="265" width="12.875" style="664" customWidth="1"/>
    <col min="266" max="267" width="12.125" style="664" customWidth="1"/>
    <col min="268" max="268" width="11.375" style="664" customWidth="1"/>
    <col min="269" max="270" width="11.875" style="664" customWidth="1"/>
    <col min="271" max="271" width="11.75" style="664" customWidth="1"/>
    <col min="272" max="272" width="11.375" style="664" customWidth="1"/>
    <col min="273" max="273" width="11.875" style="664" customWidth="1"/>
    <col min="274" max="274" width="11.375" style="664" customWidth="1"/>
    <col min="275" max="275" width="10.375" style="664" customWidth="1"/>
    <col min="276" max="276" width="12.875" style="664" customWidth="1"/>
    <col min="277" max="277" width="11.75" style="664" customWidth="1"/>
    <col min="278" max="278" width="11" style="664" customWidth="1"/>
    <col min="279" max="512" width="9" style="664"/>
    <col min="513" max="513" width="5.375" style="664" customWidth="1"/>
    <col min="514" max="514" width="10.125" style="664" customWidth="1"/>
    <col min="515" max="515" width="43.875" style="664" customWidth="1"/>
    <col min="516" max="516" width="11.625" style="664" customWidth="1"/>
    <col min="517" max="517" width="10.375" style="664" customWidth="1"/>
    <col min="518" max="518" width="11" style="664" customWidth="1"/>
    <col min="519" max="520" width="12.125" style="664" customWidth="1"/>
    <col min="521" max="521" width="12.875" style="664" customWidth="1"/>
    <col min="522" max="523" width="12.125" style="664" customWidth="1"/>
    <col min="524" max="524" width="11.375" style="664" customWidth="1"/>
    <col min="525" max="526" width="11.875" style="664" customWidth="1"/>
    <col min="527" max="527" width="11.75" style="664" customWidth="1"/>
    <col min="528" max="528" width="11.375" style="664" customWidth="1"/>
    <col min="529" max="529" width="11.875" style="664" customWidth="1"/>
    <col min="530" max="530" width="11.375" style="664" customWidth="1"/>
    <col min="531" max="531" width="10.375" style="664" customWidth="1"/>
    <col min="532" max="532" width="12.875" style="664" customWidth="1"/>
    <col min="533" max="533" width="11.75" style="664" customWidth="1"/>
    <col min="534" max="534" width="11" style="664" customWidth="1"/>
    <col min="535" max="768" width="9" style="664"/>
    <col min="769" max="769" width="5.375" style="664" customWidth="1"/>
    <col min="770" max="770" width="10.125" style="664" customWidth="1"/>
    <col min="771" max="771" width="43.875" style="664" customWidth="1"/>
    <col min="772" max="772" width="11.625" style="664" customWidth="1"/>
    <col min="773" max="773" width="10.375" style="664" customWidth="1"/>
    <col min="774" max="774" width="11" style="664" customWidth="1"/>
    <col min="775" max="776" width="12.125" style="664" customWidth="1"/>
    <col min="777" max="777" width="12.875" style="664" customWidth="1"/>
    <col min="778" max="779" width="12.125" style="664" customWidth="1"/>
    <col min="780" max="780" width="11.375" style="664" customWidth="1"/>
    <col min="781" max="782" width="11.875" style="664" customWidth="1"/>
    <col min="783" max="783" width="11.75" style="664" customWidth="1"/>
    <col min="784" max="784" width="11.375" style="664" customWidth="1"/>
    <col min="785" max="785" width="11.875" style="664" customWidth="1"/>
    <col min="786" max="786" width="11.375" style="664" customWidth="1"/>
    <col min="787" max="787" width="10.375" style="664" customWidth="1"/>
    <col min="788" max="788" width="12.875" style="664" customWidth="1"/>
    <col min="789" max="789" width="11.75" style="664" customWidth="1"/>
    <col min="790" max="790" width="11" style="664" customWidth="1"/>
    <col min="791" max="1024" width="9" style="664"/>
    <col min="1025" max="1025" width="5.375" style="664" customWidth="1"/>
    <col min="1026" max="1026" width="10.125" style="664" customWidth="1"/>
    <col min="1027" max="1027" width="43.875" style="664" customWidth="1"/>
    <col min="1028" max="1028" width="11.625" style="664" customWidth="1"/>
    <col min="1029" max="1029" width="10.375" style="664" customWidth="1"/>
    <col min="1030" max="1030" width="11" style="664" customWidth="1"/>
    <col min="1031" max="1032" width="12.125" style="664" customWidth="1"/>
    <col min="1033" max="1033" width="12.875" style="664" customWidth="1"/>
    <col min="1034" max="1035" width="12.125" style="664" customWidth="1"/>
    <col min="1036" max="1036" width="11.375" style="664" customWidth="1"/>
    <col min="1037" max="1038" width="11.875" style="664" customWidth="1"/>
    <col min="1039" max="1039" width="11.75" style="664" customWidth="1"/>
    <col min="1040" max="1040" width="11.375" style="664" customWidth="1"/>
    <col min="1041" max="1041" width="11.875" style="664" customWidth="1"/>
    <col min="1042" max="1042" width="11.375" style="664" customWidth="1"/>
    <col min="1043" max="1043" width="10.375" style="664" customWidth="1"/>
    <col min="1044" max="1044" width="12.875" style="664" customWidth="1"/>
    <col min="1045" max="1045" width="11.75" style="664" customWidth="1"/>
    <col min="1046" max="1046" width="11" style="664" customWidth="1"/>
    <col min="1047" max="1280" width="9" style="664"/>
    <col min="1281" max="1281" width="5.375" style="664" customWidth="1"/>
    <col min="1282" max="1282" width="10.125" style="664" customWidth="1"/>
    <col min="1283" max="1283" width="43.875" style="664" customWidth="1"/>
    <col min="1284" max="1284" width="11.625" style="664" customWidth="1"/>
    <col min="1285" max="1285" width="10.375" style="664" customWidth="1"/>
    <col min="1286" max="1286" width="11" style="664" customWidth="1"/>
    <col min="1287" max="1288" width="12.125" style="664" customWidth="1"/>
    <col min="1289" max="1289" width="12.875" style="664" customWidth="1"/>
    <col min="1290" max="1291" width="12.125" style="664" customWidth="1"/>
    <col min="1292" max="1292" width="11.375" style="664" customWidth="1"/>
    <col min="1293" max="1294" width="11.875" style="664" customWidth="1"/>
    <col min="1295" max="1295" width="11.75" style="664" customWidth="1"/>
    <col min="1296" max="1296" width="11.375" style="664" customWidth="1"/>
    <col min="1297" max="1297" width="11.875" style="664" customWidth="1"/>
    <col min="1298" max="1298" width="11.375" style="664" customWidth="1"/>
    <col min="1299" max="1299" width="10.375" style="664" customWidth="1"/>
    <col min="1300" max="1300" width="12.875" style="664" customWidth="1"/>
    <col min="1301" max="1301" width="11.75" style="664" customWidth="1"/>
    <col min="1302" max="1302" width="11" style="664" customWidth="1"/>
    <col min="1303" max="1536" width="9" style="664"/>
    <col min="1537" max="1537" width="5.375" style="664" customWidth="1"/>
    <col min="1538" max="1538" width="10.125" style="664" customWidth="1"/>
    <col min="1539" max="1539" width="43.875" style="664" customWidth="1"/>
    <col min="1540" max="1540" width="11.625" style="664" customWidth="1"/>
    <col min="1541" max="1541" width="10.375" style="664" customWidth="1"/>
    <col min="1542" max="1542" width="11" style="664" customWidth="1"/>
    <col min="1543" max="1544" width="12.125" style="664" customWidth="1"/>
    <col min="1545" max="1545" width="12.875" style="664" customWidth="1"/>
    <col min="1546" max="1547" width="12.125" style="664" customWidth="1"/>
    <col min="1548" max="1548" width="11.375" style="664" customWidth="1"/>
    <col min="1549" max="1550" width="11.875" style="664" customWidth="1"/>
    <col min="1551" max="1551" width="11.75" style="664" customWidth="1"/>
    <col min="1552" max="1552" width="11.375" style="664" customWidth="1"/>
    <col min="1553" max="1553" width="11.875" style="664" customWidth="1"/>
    <col min="1554" max="1554" width="11.375" style="664" customWidth="1"/>
    <col min="1555" max="1555" width="10.375" style="664" customWidth="1"/>
    <col min="1556" max="1556" width="12.875" style="664" customWidth="1"/>
    <col min="1557" max="1557" width="11.75" style="664" customWidth="1"/>
    <col min="1558" max="1558" width="11" style="664" customWidth="1"/>
    <col min="1559" max="1792" width="9" style="664"/>
    <col min="1793" max="1793" width="5.375" style="664" customWidth="1"/>
    <col min="1794" max="1794" width="10.125" style="664" customWidth="1"/>
    <col min="1795" max="1795" width="43.875" style="664" customWidth="1"/>
    <col min="1796" max="1796" width="11.625" style="664" customWidth="1"/>
    <col min="1797" max="1797" width="10.375" style="664" customWidth="1"/>
    <col min="1798" max="1798" width="11" style="664" customWidth="1"/>
    <col min="1799" max="1800" width="12.125" style="664" customWidth="1"/>
    <col min="1801" max="1801" width="12.875" style="664" customWidth="1"/>
    <col min="1802" max="1803" width="12.125" style="664" customWidth="1"/>
    <col min="1804" max="1804" width="11.375" style="664" customWidth="1"/>
    <col min="1805" max="1806" width="11.875" style="664" customWidth="1"/>
    <col min="1807" max="1807" width="11.75" style="664" customWidth="1"/>
    <col min="1808" max="1808" width="11.375" style="664" customWidth="1"/>
    <col min="1809" max="1809" width="11.875" style="664" customWidth="1"/>
    <col min="1810" max="1810" width="11.375" style="664" customWidth="1"/>
    <col min="1811" max="1811" width="10.375" style="664" customWidth="1"/>
    <col min="1812" max="1812" width="12.875" style="664" customWidth="1"/>
    <col min="1813" max="1813" width="11.75" style="664" customWidth="1"/>
    <col min="1814" max="1814" width="11" style="664" customWidth="1"/>
    <col min="1815" max="2048" width="9" style="664"/>
    <col min="2049" max="2049" width="5.375" style="664" customWidth="1"/>
    <col min="2050" max="2050" width="10.125" style="664" customWidth="1"/>
    <col min="2051" max="2051" width="43.875" style="664" customWidth="1"/>
    <col min="2052" max="2052" width="11.625" style="664" customWidth="1"/>
    <col min="2053" max="2053" width="10.375" style="664" customWidth="1"/>
    <col min="2054" max="2054" width="11" style="664" customWidth="1"/>
    <col min="2055" max="2056" width="12.125" style="664" customWidth="1"/>
    <col min="2057" max="2057" width="12.875" style="664" customWidth="1"/>
    <col min="2058" max="2059" width="12.125" style="664" customWidth="1"/>
    <col min="2060" max="2060" width="11.375" style="664" customWidth="1"/>
    <col min="2061" max="2062" width="11.875" style="664" customWidth="1"/>
    <col min="2063" max="2063" width="11.75" style="664" customWidth="1"/>
    <col min="2064" max="2064" width="11.375" style="664" customWidth="1"/>
    <col min="2065" max="2065" width="11.875" style="664" customWidth="1"/>
    <col min="2066" max="2066" width="11.375" style="664" customWidth="1"/>
    <col min="2067" max="2067" width="10.375" style="664" customWidth="1"/>
    <col min="2068" max="2068" width="12.875" style="664" customWidth="1"/>
    <col min="2069" max="2069" width="11.75" style="664" customWidth="1"/>
    <col min="2070" max="2070" width="11" style="664" customWidth="1"/>
    <col min="2071" max="2304" width="9" style="664"/>
    <col min="2305" max="2305" width="5.375" style="664" customWidth="1"/>
    <col min="2306" max="2306" width="10.125" style="664" customWidth="1"/>
    <col min="2307" max="2307" width="43.875" style="664" customWidth="1"/>
    <col min="2308" max="2308" width="11.625" style="664" customWidth="1"/>
    <col min="2309" max="2309" width="10.375" style="664" customWidth="1"/>
    <col min="2310" max="2310" width="11" style="664" customWidth="1"/>
    <col min="2311" max="2312" width="12.125" style="664" customWidth="1"/>
    <col min="2313" max="2313" width="12.875" style="664" customWidth="1"/>
    <col min="2314" max="2315" width="12.125" style="664" customWidth="1"/>
    <col min="2316" max="2316" width="11.375" style="664" customWidth="1"/>
    <col min="2317" max="2318" width="11.875" style="664" customWidth="1"/>
    <col min="2319" max="2319" width="11.75" style="664" customWidth="1"/>
    <col min="2320" max="2320" width="11.375" style="664" customWidth="1"/>
    <col min="2321" max="2321" width="11.875" style="664" customWidth="1"/>
    <col min="2322" max="2322" width="11.375" style="664" customWidth="1"/>
    <col min="2323" max="2323" width="10.375" style="664" customWidth="1"/>
    <col min="2324" max="2324" width="12.875" style="664" customWidth="1"/>
    <col min="2325" max="2325" width="11.75" style="664" customWidth="1"/>
    <col min="2326" max="2326" width="11" style="664" customWidth="1"/>
    <col min="2327" max="2560" width="9" style="664"/>
    <col min="2561" max="2561" width="5.375" style="664" customWidth="1"/>
    <col min="2562" max="2562" width="10.125" style="664" customWidth="1"/>
    <col min="2563" max="2563" width="43.875" style="664" customWidth="1"/>
    <col min="2564" max="2564" width="11.625" style="664" customWidth="1"/>
    <col min="2565" max="2565" width="10.375" style="664" customWidth="1"/>
    <col min="2566" max="2566" width="11" style="664" customWidth="1"/>
    <col min="2567" max="2568" width="12.125" style="664" customWidth="1"/>
    <col min="2569" max="2569" width="12.875" style="664" customWidth="1"/>
    <col min="2570" max="2571" width="12.125" style="664" customWidth="1"/>
    <col min="2572" max="2572" width="11.375" style="664" customWidth="1"/>
    <col min="2573" max="2574" width="11.875" style="664" customWidth="1"/>
    <col min="2575" max="2575" width="11.75" style="664" customWidth="1"/>
    <col min="2576" max="2576" width="11.375" style="664" customWidth="1"/>
    <col min="2577" max="2577" width="11.875" style="664" customWidth="1"/>
    <col min="2578" max="2578" width="11.375" style="664" customWidth="1"/>
    <col min="2579" max="2579" width="10.375" style="664" customWidth="1"/>
    <col min="2580" max="2580" width="12.875" style="664" customWidth="1"/>
    <col min="2581" max="2581" width="11.75" style="664" customWidth="1"/>
    <col min="2582" max="2582" width="11" style="664" customWidth="1"/>
    <col min="2583" max="2816" width="9" style="664"/>
    <col min="2817" max="2817" width="5.375" style="664" customWidth="1"/>
    <col min="2818" max="2818" width="10.125" style="664" customWidth="1"/>
    <col min="2819" max="2819" width="43.875" style="664" customWidth="1"/>
    <col min="2820" max="2820" width="11.625" style="664" customWidth="1"/>
    <col min="2821" max="2821" width="10.375" style="664" customWidth="1"/>
    <col min="2822" max="2822" width="11" style="664" customWidth="1"/>
    <col min="2823" max="2824" width="12.125" style="664" customWidth="1"/>
    <col min="2825" max="2825" width="12.875" style="664" customWidth="1"/>
    <col min="2826" max="2827" width="12.125" style="664" customWidth="1"/>
    <col min="2828" max="2828" width="11.375" style="664" customWidth="1"/>
    <col min="2829" max="2830" width="11.875" style="664" customWidth="1"/>
    <col min="2831" max="2831" width="11.75" style="664" customWidth="1"/>
    <col min="2832" max="2832" width="11.375" style="664" customWidth="1"/>
    <col min="2833" max="2833" width="11.875" style="664" customWidth="1"/>
    <col min="2834" max="2834" width="11.375" style="664" customWidth="1"/>
    <col min="2835" max="2835" width="10.375" style="664" customWidth="1"/>
    <col min="2836" max="2836" width="12.875" style="664" customWidth="1"/>
    <col min="2837" max="2837" width="11.75" style="664" customWidth="1"/>
    <col min="2838" max="2838" width="11" style="664" customWidth="1"/>
    <col min="2839" max="3072" width="9" style="664"/>
    <col min="3073" max="3073" width="5.375" style="664" customWidth="1"/>
    <col min="3074" max="3074" width="10.125" style="664" customWidth="1"/>
    <col min="3075" max="3075" width="43.875" style="664" customWidth="1"/>
    <col min="3076" max="3076" width="11.625" style="664" customWidth="1"/>
    <col min="3077" max="3077" width="10.375" style="664" customWidth="1"/>
    <col min="3078" max="3078" width="11" style="664" customWidth="1"/>
    <col min="3079" max="3080" width="12.125" style="664" customWidth="1"/>
    <col min="3081" max="3081" width="12.875" style="664" customWidth="1"/>
    <col min="3082" max="3083" width="12.125" style="664" customWidth="1"/>
    <col min="3084" max="3084" width="11.375" style="664" customWidth="1"/>
    <col min="3085" max="3086" width="11.875" style="664" customWidth="1"/>
    <col min="3087" max="3087" width="11.75" style="664" customWidth="1"/>
    <col min="3088" max="3088" width="11.375" style="664" customWidth="1"/>
    <col min="3089" max="3089" width="11.875" style="664" customWidth="1"/>
    <col min="3090" max="3090" width="11.375" style="664" customWidth="1"/>
    <col min="3091" max="3091" width="10.375" style="664" customWidth="1"/>
    <col min="3092" max="3092" width="12.875" style="664" customWidth="1"/>
    <col min="3093" max="3093" width="11.75" style="664" customWidth="1"/>
    <col min="3094" max="3094" width="11" style="664" customWidth="1"/>
    <col min="3095" max="3328" width="9" style="664"/>
    <col min="3329" max="3329" width="5.375" style="664" customWidth="1"/>
    <col min="3330" max="3330" width="10.125" style="664" customWidth="1"/>
    <col min="3331" max="3331" width="43.875" style="664" customWidth="1"/>
    <col min="3332" max="3332" width="11.625" style="664" customWidth="1"/>
    <col min="3333" max="3333" width="10.375" style="664" customWidth="1"/>
    <col min="3334" max="3334" width="11" style="664" customWidth="1"/>
    <col min="3335" max="3336" width="12.125" style="664" customWidth="1"/>
    <col min="3337" max="3337" width="12.875" style="664" customWidth="1"/>
    <col min="3338" max="3339" width="12.125" style="664" customWidth="1"/>
    <col min="3340" max="3340" width="11.375" style="664" customWidth="1"/>
    <col min="3341" max="3342" width="11.875" style="664" customWidth="1"/>
    <col min="3343" max="3343" width="11.75" style="664" customWidth="1"/>
    <col min="3344" max="3344" width="11.375" style="664" customWidth="1"/>
    <col min="3345" max="3345" width="11.875" style="664" customWidth="1"/>
    <col min="3346" max="3346" width="11.375" style="664" customWidth="1"/>
    <col min="3347" max="3347" width="10.375" style="664" customWidth="1"/>
    <col min="3348" max="3348" width="12.875" style="664" customWidth="1"/>
    <col min="3349" max="3349" width="11.75" style="664" customWidth="1"/>
    <col min="3350" max="3350" width="11" style="664" customWidth="1"/>
    <col min="3351" max="3584" width="9" style="664"/>
    <col min="3585" max="3585" width="5.375" style="664" customWidth="1"/>
    <col min="3586" max="3586" width="10.125" style="664" customWidth="1"/>
    <col min="3587" max="3587" width="43.875" style="664" customWidth="1"/>
    <col min="3588" max="3588" width="11.625" style="664" customWidth="1"/>
    <col min="3589" max="3589" width="10.375" style="664" customWidth="1"/>
    <col min="3590" max="3590" width="11" style="664" customWidth="1"/>
    <col min="3591" max="3592" width="12.125" style="664" customWidth="1"/>
    <col min="3593" max="3593" width="12.875" style="664" customWidth="1"/>
    <col min="3594" max="3595" width="12.125" style="664" customWidth="1"/>
    <col min="3596" max="3596" width="11.375" style="664" customWidth="1"/>
    <col min="3597" max="3598" width="11.875" style="664" customWidth="1"/>
    <col min="3599" max="3599" width="11.75" style="664" customWidth="1"/>
    <col min="3600" max="3600" width="11.375" style="664" customWidth="1"/>
    <col min="3601" max="3601" width="11.875" style="664" customWidth="1"/>
    <col min="3602" max="3602" width="11.375" style="664" customWidth="1"/>
    <col min="3603" max="3603" width="10.375" style="664" customWidth="1"/>
    <col min="3604" max="3604" width="12.875" style="664" customWidth="1"/>
    <col min="3605" max="3605" width="11.75" style="664" customWidth="1"/>
    <col min="3606" max="3606" width="11" style="664" customWidth="1"/>
    <col min="3607" max="3840" width="9" style="664"/>
    <col min="3841" max="3841" width="5.375" style="664" customWidth="1"/>
    <col min="3842" max="3842" width="10.125" style="664" customWidth="1"/>
    <col min="3843" max="3843" width="43.875" style="664" customWidth="1"/>
    <col min="3844" max="3844" width="11.625" style="664" customWidth="1"/>
    <col min="3845" max="3845" width="10.375" style="664" customWidth="1"/>
    <col min="3846" max="3846" width="11" style="664" customWidth="1"/>
    <col min="3847" max="3848" width="12.125" style="664" customWidth="1"/>
    <col min="3849" max="3849" width="12.875" style="664" customWidth="1"/>
    <col min="3850" max="3851" width="12.125" style="664" customWidth="1"/>
    <col min="3852" max="3852" width="11.375" style="664" customWidth="1"/>
    <col min="3853" max="3854" width="11.875" style="664" customWidth="1"/>
    <col min="3855" max="3855" width="11.75" style="664" customWidth="1"/>
    <col min="3856" max="3856" width="11.375" style="664" customWidth="1"/>
    <col min="3857" max="3857" width="11.875" style="664" customWidth="1"/>
    <col min="3858" max="3858" width="11.375" style="664" customWidth="1"/>
    <col min="3859" max="3859" width="10.375" style="664" customWidth="1"/>
    <col min="3860" max="3860" width="12.875" style="664" customWidth="1"/>
    <col min="3861" max="3861" width="11.75" style="664" customWidth="1"/>
    <col min="3862" max="3862" width="11" style="664" customWidth="1"/>
    <col min="3863" max="4096" width="9" style="664"/>
    <col min="4097" max="4097" width="5.375" style="664" customWidth="1"/>
    <col min="4098" max="4098" width="10.125" style="664" customWidth="1"/>
    <col min="4099" max="4099" width="43.875" style="664" customWidth="1"/>
    <col min="4100" max="4100" width="11.625" style="664" customWidth="1"/>
    <col min="4101" max="4101" width="10.375" style="664" customWidth="1"/>
    <col min="4102" max="4102" width="11" style="664" customWidth="1"/>
    <col min="4103" max="4104" width="12.125" style="664" customWidth="1"/>
    <col min="4105" max="4105" width="12.875" style="664" customWidth="1"/>
    <col min="4106" max="4107" width="12.125" style="664" customWidth="1"/>
    <col min="4108" max="4108" width="11.375" style="664" customWidth="1"/>
    <col min="4109" max="4110" width="11.875" style="664" customWidth="1"/>
    <col min="4111" max="4111" width="11.75" style="664" customWidth="1"/>
    <col min="4112" max="4112" width="11.375" style="664" customWidth="1"/>
    <col min="4113" max="4113" width="11.875" style="664" customWidth="1"/>
    <col min="4114" max="4114" width="11.375" style="664" customWidth="1"/>
    <col min="4115" max="4115" width="10.375" style="664" customWidth="1"/>
    <col min="4116" max="4116" width="12.875" style="664" customWidth="1"/>
    <col min="4117" max="4117" width="11.75" style="664" customWidth="1"/>
    <col min="4118" max="4118" width="11" style="664" customWidth="1"/>
    <col min="4119" max="4352" width="9" style="664"/>
    <col min="4353" max="4353" width="5.375" style="664" customWidth="1"/>
    <col min="4354" max="4354" width="10.125" style="664" customWidth="1"/>
    <col min="4355" max="4355" width="43.875" style="664" customWidth="1"/>
    <col min="4356" max="4356" width="11.625" style="664" customWidth="1"/>
    <col min="4357" max="4357" width="10.375" style="664" customWidth="1"/>
    <col min="4358" max="4358" width="11" style="664" customWidth="1"/>
    <col min="4359" max="4360" width="12.125" style="664" customWidth="1"/>
    <col min="4361" max="4361" width="12.875" style="664" customWidth="1"/>
    <col min="4362" max="4363" width="12.125" style="664" customWidth="1"/>
    <col min="4364" max="4364" width="11.375" style="664" customWidth="1"/>
    <col min="4365" max="4366" width="11.875" style="664" customWidth="1"/>
    <col min="4367" max="4367" width="11.75" style="664" customWidth="1"/>
    <col min="4368" max="4368" width="11.375" style="664" customWidth="1"/>
    <col min="4369" max="4369" width="11.875" style="664" customWidth="1"/>
    <col min="4370" max="4370" width="11.375" style="664" customWidth="1"/>
    <col min="4371" max="4371" width="10.375" style="664" customWidth="1"/>
    <col min="4372" max="4372" width="12.875" style="664" customWidth="1"/>
    <col min="4373" max="4373" width="11.75" style="664" customWidth="1"/>
    <col min="4374" max="4374" width="11" style="664" customWidth="1"/>
    <col min="4375" max="4608" width="9" style="664"/>
    <col min="4609" max="4609" width="5.375" style="664" customWidth="1"/>
    <col min="4610" max="4610" width="10.125" style="664" customWidth="1"/>
    <col min="4611" max="4611" width="43.875" style="664" customWidth="1"/>
    <col min="4612" max="4612" width="11.625" style="664" customWidth="1"/>
    <col min="4613" max="4613" width="10.375" style="664" customWidth="1"/>
    <col min="4614" max="4614" width="11" style="664" customWidth="1"/>
    <col min="4615" max="4616" width="12.125" style="664" customWidth="1"/>
    <col min="4617" max="4617" width="12.875" style="664" customWidth="1"/>
    <col min="4618" max="4619" width="12.125" style="664" customWidth="1"/>
    <col min="4620" max="4620" width="11.375" style="664" customWidth="1"/>
    <col min="4621" max="4622" width="11.875" style="664" customWidth="1"/>
    <col min="4623" max="4623" width="11.75" style="664" customWidth="1"/>
    <col min="4624" max="4624" width="11.375" style="664" customWidth="1"/>
    <col min="4625" max="4625" width="11.875" style="664" customWidth="1"/>
    <col min="4626" max="4626" width="11.375" style="664" customWidth="1"/>
    <col min="4627" max="4627" width="10.375" style="664" customWidth="1"/>
    <col min="4628" max="4628" width="12.875" style="664" customWidth="1"/>
    <col min="4629" max="4629" width="11.75" style="664" customWidth="1"/>
    <col min="4630" max="4630" width="11" style="664" customWidth="1"/>
    <col min="4631" max="4864" width="9" style="664"/>
    <col min="4865" max="4865" width="5.375" style="664" customWidth="1"/>
    <col min="4866" max="4866" width="10.125" style="664" customWidth="1"/>
    <col min="4867" max="4867" width="43.875" style="664" customWidth="1"/>
    <col min="4868" max="4868" width="11.625" style="664" customWidth="1"/>
    <col min="4869" max="4869" width="10.375" style="664" customWidth="1"/>
    <col min="4870" max="4870" width="11" style="664" customWidth="1"/>
    <col min="4871" max="4872" width="12.125" style="664" customWidth="1"/>
    <col min="4873" max="4873" width="12.875" style="664" customWidth="1"/>
    <col min="4874" max="4875" width="12.125" style="664" customWidth="1"/>
    <col min="4876" max="4876" width="11.375" style="664" customWidth="1"/>
    <col min="4877" max="4878" width="11.875" style="664" customWidth="1"/>
    <col min="4879" max="4879" width="11.75" style="664" customWidth="1"/>
    <col min="4880" max="4880" width="11.375" style="664" customWidth="1"/>
    <col min="4881" max="4881" width="11.875" style="664" customWidth="1"/>
    <col min="4882" max="4882" width="11.375" style="664" customWidth="1"/>
    <col min="4883" max="4883" width="10.375" style="664" customWidth="1"/>
    <col min="4884" max="4884" width="12.875" style="664" customWidth="1"/>
    <col min="4885" max="4885" width="11.75" style="664" customWidth="1"/>
    <col min="4886" max="4886" width="11" style="664" customWidth="1"/>
    <col min="4887" max="5120" width="9" style="664"/>
    <col min="5121" max="5121" width="5.375" style="664" customWidth="1"/>
    <col min="5122" max="5122" width="10.125" style="664" customWidth="1"/>
    <col min="5123" max="5123" width="43.875" style="664" customWidth="1"/>
    <col min="5124" max="5124" width="11.625" style="664" customWidth="1"/>
    <col min="5125" max="5125" width="10.375" style="664" customWidth="1"/>
    <col min="5126" max="5126" width="11" style="664" customWidth="1"/>
    <col min="5127" max="5128" width="12.125" style="664" customWidth="1"/>
    <col min="5129" max="5129" width="12.875" style="664" customWidth="1"/>
    <col min="5130" max="5131" width="12.125" style="664" customWidth="1"/>
    <col min="5132" max="5132" width="11.375" style="664" customWidth="1"/>
    <col min="5133" max="5134" width="11.875" style="664" customWidth="1"/>
    <col min="5135" max="5135" width="11.75" style="664" customWidth="1"/>
    <col min="5136" max="5136" width="11.375" style="664" customWidth="1"/>
    <col min="5137" max="5137" width="11.875" style="664" customWidth="1"/>
    <col min="5138" max="5138" width="11.375" style="664" customWidth="1"/>
    <col min="5139" max="5139" width="10.375" style="664" customWidth="1"/>
    <col min="5140" max="5140" width="12.875" style="664" customWidth="1"/>
    <col min="5141" max="5141" width="11.75" style="664" customWidth="1"/>
    <col min="5142" max="5142" width="11" style="664" customWidth="1"/>
    <col min="5143" max="5376" width="9" style="664"/>
    <col min="5377" max="5377" width="5.375" style="664" customWidth="1"/>
    <col min="5378" max="5378" width="10.125" style="664" customWidth="1"/>
    <col min="5379" max="5379" width="43.875" style="664" customWidth="1"/>
    <col min="5380" max="5380" width="11.625" style="664" customWidth="1"/>
    <col min="5381" max="5381" width="10.375" style="664" customWidth="1"/>
    <col min="5382" max="5382" width="11" style="664" customWidth="1"/>
    <col min="5383" max="5384" width="12.125" style="664" customWidth="1"/>
    <col min="5385" max="5385" width="12.875" style="664" customWidth="1"/>
    <col min="5386" max="5387" width="12.125" style="664" customWidth="1"/>
    <col min="5388" max="5388" width="11.375" style="664" customWidth="1"/>
    <col min="5389" max="5390" width="11.875" style="664" customWidth="1"/>
    <col min="5391" max="5391" width="11.75" style="664" customWidth="1"/>
    <col min="5392" max="5392" width="11.375" style="664" customWidth="1"/>
    <col min="5393" max="5393" width="11.875" style="664" customWidth="1"/>
    <col min="5394" max="5394" width="11.375" style="664" customWidth="1"/>
    <col min="5395" max="5395" width="10.375" style="664" customWidth="1"/>
    <col min="5396" max="5396" width="12.875" style="664" customWidth="1"/>
    <col min="5397" max="5397" width="11.75" style="664" customWidth="1"/>
    <col min="5398" max="5398" width="11" style="664" customWidth="1"/>
    <col min="5399" max="5632" width="9" style="664"/>
    <col min="5633" max="5633" width="5.375" style="664" customWidth="1"/>
    <col min="5634" max="5634" width="10.125" style="664" customWidth="1"/>
    <col min="5635" max="5635" width="43.875" style="664" customWidth="1"/>
    <col min="5636" max="5636" width="11.625" style="664" customWidth="1"/>
    <col min="5637" max="5637" width="10.375" style="664" customWidth="1"/>
    <col min="5638" max="5638" width="11" style="664" customWidth="1"/>
    <col min="5639" max="5640" width="12.125" style="664" customWidth="1"/>
    <col min="5641" max="5641" width="12.875" style="664" customWidth="1"/>
    <col min="5642" max="5643" width="12.125" style="664" customWidth="1"/>
    <col min="5644" max="5644" width="11.375" style="664" customWidth="1"/>
    <col min="5645" max="5646" width="11.875" style="664" customWidth="1"/>
    <col min="5647" max="5647" width="11.75" style="664" customWidth="1"/>
    <col min="5648" max="5648" width="11.375" style="664" customWidth="1"/>
    <col min="5649" max="5649" width="11.875" style="664" customWidth="1"/>
    <col min="5650" max="5650" width="11.375" style="664" customWidth="1"/>
    <col min="5651" max="5651" width="10.375" style="664" customWidth="1"/>
    <col min="5652" max="5652" width="12.875" style="664" customWidth="1"/>
    <col min="5653" max="5653" width="11.75" style="664" customWidth="1"/>
    <col min="5654" max="5654" width="11" style="664" customWidth="1"/>
    <col min="5655" max="5888" width="9" style="664"/>
    <col min="5889" max="5889" width="5.375" style="664" customWidth="1"/>
    <col min="5890" max="5890" width="10.125" style="664" customWidth="1"/>
    <col min="5891" max="5891" width="43.875" style="664" customWidth="1"/>
    <col min="5892" max="5892" width="11.625" style="664" customWidth="1"/>
    <col min="5893" max="5893" width="10.375" style="664" customWidth="1"/>
    <col min="5894" max="5894" width="11" style="664" customWidth="1"/>
    <col min="5895" max="5896" width="12.125" style="664" customWidth="1"/>
    <col min="5897" max="5897" width="12.875" style="664" customWidth="1"/>
    <col min="5898" max="5899" width="12.125" style="664" customWidth="1"/>
    <col min="5900" max="5900" width="11.375" style="664" customWidth="1"/>
    <col min="5901" max="5902" width="11.875" style="664" customWidth="1"/>
    <col min="5903" max="5903" width="11.75" style="664" customWidth="1"/>
    <col min="5904" max="5904" width="11.375" style="664" customWidth="1"/>
    <col min="5905" max="5905" width="11.875" style="664" customWidth="1"/>
    <col min="5906" max="5906" width="11.375" style="664" customWidth="1"/>
    <col min="5907" max="5907" width="10.375" style="664" customWidth="1"/>
    <col min="5908" max="5908" width="12.875" style="664" customWidth="1"/>
    <col min="5909" max="5909" width="11.75" style="664" customWidth="1"/>
    <col min="5910" max="5910" width="11" style="664" customWidth="1"/>
    <col min="5911" max="6144" width="9" style="664"/>
    <col min="6145" max="6145" width="5.375" style="664" customWidth="1"/>
    <col min="6146" max="6146" width="10.125" style="664" customWidth="1"/>
    <col min="6147" max="6147" width="43.875" style="664" customWidth="1"/>
    <col min="6148" max="6148" width="11.625" style="664" customWidth="1"/>
    <col min="6149" max="6149" width="10.375" style="664" customWidth="1"/>
    <col min="6150" max="6150" width="11" style="664" customWidth="1"/>
    <col min="6151" max="6152" width="12.125" style="664" customWidth="1"/>
    <col min="6153" max="6153" width="12.875" style="664" customWidth="1"/>
    <col min="6154" max="6155" width="12.125" style="664" customWidth="1"/>
    <col min="6156" max="6156" width="11.375" style="664" customWidth="1"/>
    <col min="6157" max="6158" width="11.875" style="664" customWidth="1"/>
    <col min="6159" max="6159" width="11.75" style="664" customWidth="1"/>
    <col min="6160" max="6160" width="11.375" style="664" customWidth="1"/>
    <col min="6161" max="6161" width="11.875" style="664" customWidth="1"/>
    <col min="6162" max="6162" width="11.375" style="664" customWidth="1"/>
    <col min="6163" max="6163" width="10.375" style="664" customWidth="1"/>
    <col min="6164" max="6164" width="12.875" style="664" customWidth="1"/>
    <col min="6165" max="6165" width="11.75" style="664" customWidth="1"/>
    <col min="6166" max="6166" width="11" style="664" customWidth="1"/>
    <col min="6167" max="6400" width="9" style="664"/>
    <col min="6401" max="6401" width="5.375" style="664" customWidth="1"/>
    <col min="6402" max="6402" width="10.125" style="664" customWidth="1"/>
    <col min="6403" max="6403" width="43.875" style="664" customWidth="1"/>
    <col min="6404" max="6404" width="11.625" style="664" customWidth="1"/>
    <col min="6405" max="6405" width="10.375" style="664" customWidth="1"/>
    <col min="6406" max="6406" width="11" style="664" customWidth="1"/>
    <col min="6407" max="6408" width="12.125" style="664" customWidth="1"/>
    <col min="6409" max="6409" width="12.875" style="664" customWidth="1"/>
    <col min="6410" max="6411" width="12.125" style="664" customWidth="1"/>
    <col min="6412" max="6412" width="11.375" style="664" customWidth="1"/>
    <col min="6413" max="6414" width="11.875" style="664" customWidth="1"/>
    <col min="6415" max="6415" width="11.75" style="664" customWidth="1"/>
    <col min="6416" max="6416" width="11.375" style="664" customWidth="1"/>
    <col min="6417" max="6417" width="11.875" style="664" customWidth="1"/>
    <col min="6418" max="6418" width="11.375" style="664" customWidth="1"/>
    <col min="6419" max="6419" width="10.375" style="664" customWidth="1"/>
    <col min="6420" max="6420" width="12.875" style="664" customWidth="1"/>
    <col min="6421" max="6421" width="11.75" style="664" customWidth="1"/>
    <col min="6422" max="6422" width="11" style="664" customWidth="1"/>
    <col min="6423" max="6656" width="9" style="664"/>
    <col min="6657" max="6657" width="5.375" style="664" customWidth="1"/>
    <col min="6658" max="6658" width="10.125" style="664" customWidth="1"/>
    <col min="6659" max="6659" width="43.875" style="664" customWidth="1"/>
    <col min="6660" max="6660" width="11.625" style="664" customWidth="1"/>
    <col min="6661" max="6661" width="10.375" style="664" customWidth="1"/>
    <col min="6662" max="6662" width="11" style="664" customWidth="1"/>
    <col min="6663" max="6664" width="12.125" style="664" customWidth="1"/>
    <col min="6665" max="6665" width="12.875" style="664" customWidth="1"/>
    <col min="6666" max="6667" width="12.125" style="664" customWidth="1"/>
    <col min="6668" max="6668" width="11.375" style="664" customWidth="1"/>
    <col min="6669" max="6670" width="11.875" style="664" customWidth="1"/>
    <col min="6671" max="6671" width="11.75" style="664" customWidth="1"/>
    <col min="6672" max="6672" width="11.375" style="664" customWidth="1"/>
    <col min="6673" max="6673" width="11.875" style="664" customWidth="1"/>
    <col min="6674" max="6674" width="11.375" style="664" customWidth="1"/>
    <col min="6675" max="6675" width="10.375" style="664" customWidth="1"/>
    <col min="6676" max="6676" width="12.875" style="664" customWidth="1"/>
    <col min="6677" max="6677" width="11.75" style="664" customWidth="1"/>
    <col min="6678" max="6678" width="11" style="664" customWidth="1"/>
    <col min="6679" max="6912" width="9" style="664"/>
    <col min="6913" max="6913" width="5.375" style="664" customWidth="1"/>
    <col min="6914" max="6914" width="10.125" style="664" customWidth="1"/>
    <col min="6915" max="6915" width="43.875" style="664" customWidth="1"/>
    <col min="6916" max="6916" width="11.625" style="664" customWidth="1"/>
    <col min="6917" max="6917" width="10.375" style="664" customWidth="1"/>
    <col min="6918" max="6918" width="11" style="664" customWidth="1"/>
    <col min="6919" max="6920" width="12.125" style="664" customWidth="1"/>
    <col min="6921" max="6921" width="12.875" style="664" customWidth="1"/>
    <col min="6922" max="6923" width="12.125" style="664" customWidth="1"/>
    <col min="6924" max="6924" width="11.375" style="664" customWidth="1"/>
    <col min="6925" max="6926" width="11.875" style="664" customWidth="1"/>
    <col min="6927" max="6927" width="11.75" style="664" customWidth="1"/>
    <col min="6928" max="6928" width="11.375" style="664" customWidth="1"/>
    <col min="6929" max="6929" width="11.875" style="664" customWidth="1"/>
    <col min="6930" max="6930" width="11.375" style="664" customWidth="1"/>
    <col min="6931" max="6931" width="10.375" style="664" customWidth="1"/>
    <col min="6932" max="6932" width="12.875" style="664" customWidth="1"/>
    <col min="6933" max="6933" width="11.75" style="664" customWidth="1"/>
    <col min="6934" max="6934" width="11" style="664" customWidth="1"/>
    <col min="6935" max="7168" width="9" style="664"/>
    <col min="7169" max="7169" width="5.375" style="664" customWidth="1"/>
    <col min="7170" max="7170" width="10.125" style="664" customWidth="1"/>
    <col min="7171" max="7171" width="43.875" style="664" customWidth="1"/>
    <col min="7172" max="7172" width="11.625" style="664" customWidth="1"/>
    <col min="7173" max="7173" width="10.375" style="664" customWidth="1"/>
    <col min="7174" max="7174" width="11" style="664" customWidth="1"/>
    <col min="7175" max="7176" width="12.125" style="664" customWidth="1"/>
    <col min="7177" max="7177" width="12.875" style="664" customWidth="1"/>
    <col min="7178" max="7179" width="12.125" style="664" customWidth="1"/>
    <col min="7180" max="7180" width="11.375" style="664" customWidth="1"/>
    <col min="7181" max="7182" width="11.875" style="664" customWidth="1"/>
    <col min="7183" max="7183" width="11.75" style="664" customWidth="1"/>
    <col min="7184" max="7184" width="11.375" style="664" customWidth="1"/>
    <col min="7185" max="7185" width="11.875" style="664" customWidth="1"/>
    <col min="7186" max="7186" width="11.375" style="664" customWidth="1"/>
    <col min="7187" max="7187" width="10.375" style="664" customWidth="1"/>
    <col min="7188" max="7188" width="12.875" style="664" customWidth="1"/>
    <col min="7189" max="7189" width="11.75" style="664" customWidth="1"/>
    <col min="7190" max="7190" width="11" style="664" customWidth="1"/>
    <col min="7191" max="7424" width="9" style="664"/>
    <col min="7425" max="7425" width="5.375" style="664" customWidth="1"/>
    <col min="7426" max="7426" width="10.125" style="664" customWidth="1"/>
    <col min="7427" max="7427" width="43.875" style="664" customWidth="1"/>
    <col min="7428" max="7428" width="11.625" style="664" customWidth="1"/>
    <col min="7429" max="7429" width="10.375" style="664" customWidth="1"/>
    <col min="7430" max="7430" width="11" style="664" customWidth="1"/>
    <col min="7431" max="7432" width="12.125" style="664" customWidth="1"/>
    <col min="7433" max="7433" width="12.875" style="664" customWidth="1"/>
    <col min="7434" max="7435" width="12.125" style="664" customWidth="1"/>
    <col min="7436" max="7436" width="11.375" style="664" customWidth="1"/>
    <col min="7437" max="7438" width="11.875" style="664" customWidth="1"/>
    <col min="7439" max="7439" width="11.75" style="664" customWidth="1"/>
    <col min="7440" max="7440" width="11.375" style="664" customWidth="1"/>
    <col min="7441" max="7441" width="11.875" style="664" customWidth="1"/>
    <col min="7442" max="7442" width="11.375" style="664" customWidth="1"/>
    <col min="7443" max="7443" width="10.375" style="664" customWidth="1"/>
    <col min="7444" max="7444" width="12.875" style="664" customWidth="1"/>
    <col min="7445" max="7445" width="11.75" style="664" customWidth="1"/>
    <col min="7446" max="7446" width="11" style="664" customWidth="1"/>
    <col min="7447" max="7680" width="9" style="664"/>
    <col min="7681" max="7681" width="5.375" style="664" customWidth="1"/>
    <col min="7682" max="7682" width="10.125" style="664" customWidth="1"/>
    <col min="7683" max="7683" width="43.875" style="664" customWidth="1"/>
    <col min="7684" max="7684" width="11.625" style="664" customWidth="1"/>
    <col min="7685" max="7685" width="10.375" style="664" customWidth="1"/>
    <col min="7686" max="7686" width="11" style="664" customWidth="1"/>
    <col min="7687" max="7688" width="12.125" style="664" customWidth="1"/>
    <col min="7689" max="7689" width="12.875" style="664" customWidth="1"/>
    <col min="7690" max="7691" width="12.125" style="664" customWidth="1"/>
    <col min="7692" max="7692" width="11.375" style="664" customWidth="1"/>
    <col min="7693" max="7694" width="11.875" style="664" customWidth="1"/>
    <col min="7695" max="7695" width="11.75" style="664" customWidth="1"/>
    <col min="7696" max="7696" width="11.375" style="664" customWidth="1"/>
    <col min="7697" max="7697" width="11.875" style="664" customWidth="1"/>
    <col min="7698" max="7698" width="11.375" style="664" customWidth="1"/>
    <col min="7699" max="7699" width="10.375" style="664" customWidth="1"/>
    <col min="7700" max="7700" width="12.875" style="664" customWidth="1"/>
    <col min="7701" max="7701" width="11.75" style="664" customWidth="1"/>
    <col min="7702" max="7702" width="11" style="664" customWidth="1"/>
    <col min="7703" max="7936" width="9" style="664"/>
    <col min="7937" max="7937" width="5.375" style="664" customWidth="1"/>
    <col min="7938" max="7938" width="10.125" style="664" customWidth="1"/>
    <col min="7939" max="7939" width="43.875" style="664" customWidth="1"/>
    <col min="7940" max="7940" width="11.625" style="664" customWidth="1"/>
    <col min="7941" max="7941" width="10.375" style="664" customWidth="1"/>
    <col min="7942" max="7942" width="11" style="664" customWidth="1"/>
    <col min="7943" max="7944" width="12.125" style="664" customWidth="1"/>
    <col min="7945" max="7945" width="12.875" style="664" customWidth="1"/>
    <col min="7946" max="7947" width="12.125" style="664" customWidth="1"/>
    <col min="7948" max="7948" width="11.375" style="664" customWidth="1"/>
    <col min="7949" max="7950" width="11.875" style="664" customWidth="1"/>
    <col min="7951" max="7951" width="11.75" style="664" customWidth="1"/>
    <col min="7952" max="7952" width="11.375" style="664" customWidth="1"/>
    <col min="7953" max="7953" width="11.875" style="664" customWidth="1"/>
    <col min="7954" max="7954" width="11.375" style="664" customWidth="1"/>
    <col min="7955" max="7955" width="10.375" style="664" customWidth="1"/>
    <col min="7956" max="7956" width="12.875" style="664" customWidth="1"/>
    <col min="7957" max="7957" width="11.75" style="664" customWidth="1"/>
    <col min="7958" max="7958" width="11" style="664" customWidth="1"/>
    <col min="7959" max="8192" width="9" style="664"/>
    <col min="8193" max="8193" width="5.375" style="664" customWidth="1"/>
    <col min="8194" max="8194" width="10.125" style="664" customWidth="1"/>
    <col min="8195" max="8195" width="43.875" style="664" customWidth="1"/>
    <col min="8196" max="8196" width="11.625" style="664" customWidth="1"/>
    <col min="8197" max="8197" width="10.375" style="664" customWidth="1"/>
    <col min="8198" max="8198" width="11" style="664" customWidth="1"/>
    <col min="8199" max="8200" width="12.125" style="664" customWidth="1"/>
    <col min="8201" max="8201" width="12.875" style="664" customWidth="1"/>
    <col min="8202" max="8203" width="12.125" style="664" customWidth="1"/>
    <col min="8204" max="8204" width="11.375" style="664" customWidth="1"/>
    <col min="8205" max="8206" width="11.875" style="664" customWidth="1"/>
    <col min="8207" max="8207" width="11.75" style="664" customWidth="1"/>
    <col min="8208" max="8208" width="11.375" style="664" customWidth="1"/>
    <col min="8209" max="8209" width="11.875" style="664" customWidth="1"/>
    <col min="8210" max="8210" width="11.375" style="664" customWidth="1"/>
    <col min="8211" max="8211" width="10.375" style="664" customWidth="1"/>
    <col min="8212" max="8212" width="12.875" style="664" customWidth="1"/>
    <col min="8213" max="8213" width="11.75" style="664" customWidth="1"/>
    <col min="8214" max="8214" width="11" style="664" customWidth="1"/>
    <col min="8215" max="8448" width="9" style="664"/>
    <col min="8449" max="8449" width="5.375" style="664" customWidth="1"/>
    <col min="8450" max="8450" width="10.125" style="664" customWidth="1"/>
    <col min="8451" max="8451" width="43.875" style="664" customWidth="1"/>
    <col min="8452" max="8452" width="11.625" style="664" customWidth="1"/>
    <col min="8453" max="8453" width="10.375" style="664" customWidth="1"/>
    <col min="8454" max="8454" width="11" style="664" customWidth="1"/>
    <col min="8455" max="8456" width="12.125" style="664" customWidth="1"/>
    <col min="8457" max="8457" width="12.875" style="664" customWidth="1"/>
    <col min="8458" max="8459" width="12.125" style="664" customWidth="1"/>
    <col min="8460" max="8460" width="11.375" style="664" customWidth="1"/>
    <col min="8461" max="8462" width="11.875" style="664" customWidth="1"/>
    <col min="8463" max="8463" width="11.75" style="664" customWidth="1"/>
    <col min="8464" max="8464" width="11.375" style="664" customWidth="1"/>
    <col min="8465" max="8465" width="11.875" style="664" customWidth="1"/>
    <col min="8466" max="8466" width="11.375" style="664" customWidth="1"/>
    <col min="8467" max="8467" width="10.375" style="664" customWidth="1"/>
    <col min="8468" max="8468" width="12.875" style="664" customWidth="1"/>
    <col min="8469" max="8469" width="11.75" style="664" customWidth="1"/>
    <col min="8470" max="8470" width="11" style="664" customWidth="1"/>
    <col min="8471" max="8704" width="9" style="664"/>
    <col min="8705" max="8705" width="5.375" style="664" customWidth="1"/>
    <col min="8706" max="8706" width="10.125" style="664" customWidth="1"/>
    <col min="8707" max="8707" width="43.875" style="664" customWidth="1"/>
    <col min="8708" max="8708" width="11.625" style="664" customWidth="1"/>
    <col min="8709" max="8709" width="10.375" style="664" customWidth="1"/>
    <col min="8710" max="8710" width="11" style="664" customWidth="1"/>
    <col min="8711" max="8712" width="12.125" style="664" customWidth="1"/>
    <col min="8713" max="8713" width="12.875" style="664" customWidth="1"/>
    <col min="8714" max="8715" width="12.125" style="664" customWidth="1"/>
    <col min="8716" max="8716" width="11.375" style="664" customWidth="1"/>
    <col min="8717" max="8718" width="11.875" style="664" customWidth="1"/>
    <col min="8719" max="8719" width="11.75" style="664" customWidth="1"/>
    <col min="8720" max="8720" width="11.375" style="664" customWidth="1"/>
    <col min="8721" max="8721" width="11.875" style="664" customWidth="1"/>
    <col min="8722" max="8722" width="11.375" style="664" customWidth="1"/>
    <col min="8723" max="8723" width="10.375" style="664" customWidth="1"/>
    <col min="8724" max="8724" width="12.875" style="664" customWidth="1"/>
    <col min="8725" max="8725" width="11.75" style="664" customWidth="1"/>
    <col min="8726" max="8726" width="11" style="664" customWidth="1"/>
    <col min="8727" max="8960" width="9" style="664"/>
    <col min="8961" max="8961" width="5.375" style="664" customWidth="1"/>
    <col min="8962" max="8962" width="10.125" style="664" customWidth="1"/>
    <col min="8963" max="8963" width="43.875" style="664" customWidth="1"/>
    <col min="8964" max="8964" width="11.625" style="664" customWidth="1"/>
    <col min="8965" max="8965" width="10.375" style="664" customWidth="1"/>
    <col min="8966" max="8966" width="11" style="664" customWidth="1"/>
    <col min="8967" max="8968" width="12.125" style="664" customWidth="1"/>
    <col min="8969" max="8969" width="12.875" style="664" customWidth="1"/>
    <col min="8970" max="8971" width="12.125" style="664" customWidth="1"/>
    <col min="8972" max="8972" width="11.375" style="664" customWidth="1"/>
    <col min="8973" max="8974" width="11.875" style="664" customWidth="1"/>
    <col min="8975" max="8975" width="11.75" style="664" customWidth="1"/>
    <col min="8976" max="8976" width="11.375" style="664" customWidth="1"/>
    <col min="8977" max="8977" width="11.875" style="664" customWidth="1"/>
    <col min="8978" max="8978" width="11.375" style="664" customWidth="1"/>
    <col min="8979" max="8979" width="10.375" style="664" customWidth="1"/>
    <col min="8980" max="8980" width="12.875" style="664" customWidth="1"/>
    <col min="8981" max="8981" width="11.75" style="664" customWidth="1"/>
    <col min="8982" max="8982" width="11" style="664" customWidth="1"/>
    <col min="8983" max="9216" width="9" style="664"/>
    <col min="9217" max="9217" width="5.375" style="664" customWidth="1"/>
    <col min="9218" max="9218" width="10.125" style="664" customWidth="1"/>
    <col min="9219" max="9219" width="43.875" style="664" customWidth="1"/>
    <col min="9220" max="9220" width="11.625" style="664" customWidth="1"/>
    <col min="9221" max="9221" width="10.375" style="664" customWidth="1"/>
    <col min="9222" max="9222" width="11" style="664" customWidth="1"/>
    <col min="9223" max="9224" width="12.125" style="664" customWidth="1"/>
    <col min="9225" max="9225" width="12.875" style="664" customWidth="1"/>
    <col min="9226" max="9227" width="12.125" style="664" customWidth="1"/>
    <col min="9228" max="9228" width="11.375" style="664" customWidth="1"/>
    <col min="9229" max="9230" width="11.875" style="664" customWidth="1"/>
    <col min="9231" max="9231" width="11.75" style="664" customWidth="1"/>
    <col min="9232" max="9232" width="11.375" style="664" customWidth="1"/>
    <col min="9233" max="9233" width="11.875" style="664" customWidth="1"/>
    <col min="9234" max="9234" width="11.375" style="664" customWidth="1"/>
    <col min="9235" max="9235" width="10.375" style="664" customWidth="1"/>
    <col min="9236" max="9236" width="12.875" style="664" customWidth="1"/>
    <col min="9237" max="9237" width="11.75" style="664" customWidth="1"/>
    <col min="9238" max="9238" width="11" style="664" customWidth="1"/>
    <col min="9239" max="9472" width="9" style="664"/>
    <col min="9473" max="9473" width="5.375" style="664" customWidth="1"/>
    <col min="9474" max="9474" width="10.125" style="664" customWidth="1"/>
    <col min="9475" max="9475" width="43.875" style="664" customWidth="1"/>
    <col min="9476" max="9476" width="11.625" style="664" customWidth="1"/>
    <col min="9477" max="9477" width="10.375" style="664" customWidth="1"/>
    <col min="9478" max="9478" width="11" style="664" customWidth="1"/>
    <col min="9479" max="9480" width="12.125" style="664" customWidth="1"/>
    <col min="9481" max="9481" width="12.875" style="664" customWidth="1"/>
    <col min="9482" max="9483" width="12.125" style="664" customWidth="1"/>
    <col min="9484" max="9484" width="11.375" style="664" customWidth="1"/>
    <col min="9485" max="9486" width="11.875" style="664" customWidth="1"/>
    <col min="9487" max="9487" width="11.75" style="664" customWidth="1"/>
    <col min="9488" max="9488" width="11.375" style="664" customWidth="1"/>
    <col min="9489" max="9489" width="11.875" style="664" customWidth="1"/>
    <col min="9490" max="9490" width="11.375" style="664" customWidth="1"/>
    <col min="9491" max="9491" width="10.375" style="664" customWidth="1"/>
    <col min="9492" max="9492" width="12.875" style="664" customWidth="1"/>
    <col min="9493" max="9493" width="11.75" style="664" customWidth="1"/>
    <col min="9494" max="9494" width="11" style="664" customWidth="1"/>
    <col min="9495" max="9728" width="9" style="664"/>
    <col min="9729" max="9729" width="5.375" style="664" customWidth="1"/>
    <col min="9730" max="9730" width="10.125" style="664" customWidth="1"/>
    <col min="9731" max="9731" width="43.875" style="664" customWidth="1"/>
    <col min="9732" max="9732" width="11.625" style="664" customWidth="1"/>
    <col min="9733" max="9733" width="10.375" style="664" customWidth="1"/>
    <col min="9734" max="9734" width="11" style="664" customWidth="1"/>
    <col min="9735" max="9736" width="12.125" style="664" customWidth="1"/>
    <col min="9737" max="9737" width="12.875" style="664" customWidth="1"/>
    <col min="9738" max="9739" width="12.125" style="664" customWidth="1"/>
    <col min="9740" max="9740" width="11.375" style="664" customWidth="1"/>
    <col min="9741" max="9742" width="11.875" style="664" customWidth="1"/>
    <col min="9743" max="9743" width="11.75" style="664" customWidth="1"/>
    <col min="9744" max="9744" width="11.375" style="664" customWidth="1"/>
    <col min="9745" max="9745" width="11.875" style="664" customWidth="1"/>
    <col min="9746" max="9746" width="11.375" style="664" customWidth="1"/>
    <col min="9747" max="9747" width="10.375" style="664" customWidth="1"/>
    <col min="9748" max="9748" width="12.875" style="664" customWidth="1"/>
    <col min="9749" max="9749" width="11.75" style="664" customWidth="1"/>
    <col min="9750" max="9750" width="11" style="664" customWidth="1"/>
    <col min="9751" max="9984" width="9" style="664"/>
    <col min="9985" max="9985" width="5.375" style="664" customWidth="1"/>
    <col min="9986" max="9986" width="10.125" style="664" customWidth="1"/>
    <col min="9987" max="9987" width="43.875" style="664" customWidth="1"/>
    <col min="9988" max="9988" width="11.625" style="664" customWidth="1"/>
    <col min="9989" max="9989" width="10.375" style="664" customWidth="1"/>
    <col min="9990" max="9990" width="11" style="664" customWidth="1"/>
    <col min="9991" max="9992" width="12.125" style="664" customWidth="1"/>
    <col min="9993" max="9993" width="12.875" style="664" customWidth="1"/>
    <col min="9994" max="9995" width="12.125" style="664" customWidth="1"/>
    <col min="9996" max="9996" width="11.375" style="664" customWidth="1"/>
    <col min="9997" max="9998" width="11.875" style="664" customWidth="1"/>
    <col min="9999" max="9999" width="11.75" style="664" customWidth="1"/>
    <col min="10000" max="10000" width="11.375" style="664" customWidth="1"/>
    <col min="10001" max="10001" width="11.875" style="664" customWidth="1"/>
    <col min="10002" max="10002" width="11.375" style="664" customWidth="1"/>
    <col min="10003" max="10003" width="10.375" style="664" customWidth="1"/>
    <col min="10004" max="10004" width="12.875" style="664" customWidth="1"/>
    <col min="10005" max="10005" width="11.75" style="664" customWidth="1"/>
    <col min="10006" max="10006" width="11" style="664" customWidth="1"/>
    <col min="10007" max="10240" width="9" style="664"/>
    <col min="10241" max="10241" width="5.375" style="664" customWidth="1"/>
    <col min="10242" max="10242" width="10.125" style="664" customWidth="1"/>
    <col min="10243" max="10243" width="43.875" style="664" customWidth="1"/>
    <col min="10244" max="10244" width="11.625" style="664" customWidth="1"/>
    <col min="10245" max="10245" width="10.375" style="664" customWidth="1"/>
    <col min="10246" max="10246" width="11" style="664" customWidth="1"/>
    <col min="10247" max="10248" width="12.125" style="664" customWidth="1"/>
    <col min="10249" max="10249" width="12.875" style="664" customWidth="1"/>
    <col min="10250" max="10251" width="12.125" style="664" customWidth="1"/>
    <col min="10252" max="10252" width="11.375" style="664" customWidth="1"/>
    <col min="10253" max="10254" width="11.875" style="664" customWidth="1"/>
    <col min="10255" max="10255" width="11.75" style="664" customWidth="1"/>
    <col min="10256" max="10256" width="11.375" style="664" customWidth="1"/>
    <col min="10257" max="10257" width="11.875" style="664" customWidth="1"/>
    <col min="10258" max="10258" width="11.375" style="664" customWidth="1"/>
    <col min="10259" max="10259" width="10.375" style="664" customWidth="1"/>
    <col min="10260" max="10260" width="12.875" style="664" customWidth="1"/>
    <col min="10261" max="10261" width="11.75" style="664" customWidth="1"/>
    <col min="10262" max="10262" width="11" style="664" customWidth="1"/>
    <col min="10263" max="10496" width="9" style="664"/>
    <col min="10497" max="10497" width="5.375" style="664" customWidth="1"/>
    <col min="10498" max="10498" width="10.125" style="664" customWidth="1"/>
    <col min="10499" max="10499" width="43.875" style="664" customWidth="1"/>
    <col min="10500" max="10500" width="11.625" style="664" customWidth="1"/>
    <col min="10501" max="10501" width="10.375" style="664" customWidth="1"/>
    <col min="10502" max="10502" width="11" style="664" customWidth="1"/>
    <col min="10503" max="10504" width="12.125" style="664" customWidth="1"/>
    <col min="10505" max="10505" width="12.875" style="664" customWidth="1"/>
    <col min="10506" max="10507" width="12.125" style="664" customWidth="1"/>
    <col min="10508" max="10508" width="11.375" style="664" customWidth="1"/>
    <col min="10509" max="10510" width="11.875" style="664" customWidth="1"/>
    <col min="10511" max="10511" width="11.75" style="664" customWidth="1"/>
    <col min="10512" max="10512" width="11.375" style="664" customWidth="1"/>
    <col min="10513" max="10513" width="11.875" style="664" customWidth="1"/>
    <col min="10514" max="10514" width="11.375" style="664" customWidth="1"/>
    <col min="10515" max="10515" width="10.375" style="664" customWidth="1"/>
    <col min="10516" max="10516" width="12.875" style="664" customWidth="1"/>
    <col min="10517" max="10517" width="11.75" style="664" customWidth="1"/>
    <col min="10518" max="10518" width="11" style="664" customWidth="1"/>
    <col min="10519" max="10752" width="9" style="664"/>
    <col min="10753" max="10753" width="5.375" style="664" customWidth="1"/>
    <col min="10754" max="10754" width="10.125" style="664" customWidth="1"/>
    <col min="10755" max="10755" width="43.875" style="664" customWidth="1"/>
    <col min="10756" max="10756" width="11.625" style="664" customWidth="1"/>
    <col min="10757" max="10757" width="10.375" style="664" customWidth="1"/>
    <col min="10758" max="10758" width="11" style="664" customWidth="1"/>
    <col min="10759" max="10760" width="12.125" style="664" customWidth="1"/>
    <col min="10761" max="10761" width="12.875" style="664" customWidth="1"/>
    <col min="10762" max="10763" width="12.125" style="664" customWidth="1"/>
    <col min="10764" max="10764" width="11.375" style="664" customWidth="1"/>
    <col min="10765" max="10766" width="11.875" style="664" customWidth="1"/>
    <col min="10767" max="10767" width="11.75" style="664" customWidth="1"/>
    <col min="10768" max="10768" width="11.375" style="664" customWidth="1"/>
    <col min="10769" max="10769" width="11.875" style="664" customWidth="1"/>
    <col min="10770" max="10770" width="11.375" style="664" customWidth="1"/>
    <col min="10771" max="10771" width="10.375" style="664" customWidth="1"/>
    <col min="10772" max="10772" width="12.875" style="664" customWidth="1"/>
    <col min="10773" max="10773" width="11.75" style="664" customWidth="1"/>
    <col min="10774" max="10774" width="11" style="664" customWidth="1"/>
    <col min="10775" max="11008" width="9" style="664"/>
    <col min="11009" max="11009" width="5.375" style="664" customWidth="1"/>
    <col min="11010" max="11010" width="10.125" style="664" customWidth="1"/>
    <col min="11011" max="11011" width="43.875" style="664" customWidth="1"/>
    <col min="11012" max="11012" width="11.625" style="664" customWidth="1"/>
    <col min="11013" max="11013" width="10.375" style="664" customWidth="1"/>
    <col min="11014" max="11014" width="11" style="664" customWidth="1"/>
    <col min="11015" max="11016" width="12.125" style="664" customWidth="1"/>
    <col min="11017" max="11017" width="12.875" style="664" customWidth="1"/>
    <col min="11018" max="11019" width="12.125" style="664" customWidth="1"/>
    <col min="11020" max="11020" width="11.375" style="664" customWidth="1"/>
    <col min="11021" max="11022" width="11.875" style="664" customWidth="1"/>
    <col min="11023" max="11023" width="11.75" style="664" customWidth="1"/>
    <col min="11024" max="11024" width="11.375" style="664" customWidth="1"/>
    <col min="11025" max="11025" width="11.875" style="664" customWidth="1"/>
    <col min="11026" max="11026" width="11.375" style="664" customWidth="1"/>
    <col min="11027" max="11027" width="10.375" style="664" customWidth="1"/>
    <col min="11028" max="11028" width="12.875" style="664" customWidth="1"/>
    <col min="11029" max="11029" width="11.75" style="664" customWidth="1"/>
    <col min="11030" max="11030" width="11" style="664" customWidth="1"/>
    <col min="11031" max="11264" width="9" style="664"/>
    <col min="11265" max="11265" width="5.375" style="664" customWidth="1"/>
    <col min="11266" max="11266" width="10.125" style="664" customWidth="1"/>
    <col min="11267" max="11267" width="43.875" style="664" customWidth="1"/>
    <col min="11268" max="11268" width="11.625" style="664" customWidth="1"/>
    <col min="11269" max="11269" width="10.375" style="664" customWidth="1"/>
    <col min="11270" max="11270" width="11" style="664" customWidth="1"/>
    <col min="11271" max="11272" width="12.125" style="664" customWidth="1"/>
    <col min="11273" max="11273" width="12.875" style="664" customWidth="1"/>
    <col min="11274" max="11275" width="12.125" style="664" customWidth="1"/>
    <col min="11276" max="11276" width="11.375" style="664" customWidth="1"/>
    <col min="11277" max="11278" width="11.875" style="664" customWidth="1"/>
    <col min="11279" max="11279" width="11.75" style="664" customWidth="1"/>
    <col min="11280" max="11280" width="11.375" style="664" customWidth="1"/>
    <col min="11281" max="11281" width="11.875" style="664" customWidth="1"/>
    <col min="11282" max="11282" width="11.375" style="664" customWidth="1"/>
    <col min="11283" max="11283" width="10.375" style="664" customWidth="1"/>
    <col min="11284" max="11284" width="12.875" style="664" customWidth="1"/>
    <col min="11285" max="11285" width="11.75" style="664" customWidth="1"/>
    <col min="11286" max="11286" width="11" style="664" customWidth="1"/>
    <col min="11287" max="11520" width="9" style="664"/>
    <col min="11521" max="11521" width="5.375" style="664" customWidth="1"/>
    <col min="11522" max="11522" width="10.125" style="664" customWidth="1"/>
    <col min="11523" max="11523" width="43.875" style="664" customWidth="1"/>
    <col min="11524" max="11524" width="11.625" style="664" customWidth="1"/>
    <col min="11525" max="11525" width="10.375" style="664" customWidth="1"/>
    <col min="11526" max="11526" width="11" style="664" customWidth="1"/>
    <col min="11527" max="11528" width="12.125" style="664" customWidth="1"/>
    <col min="11529" max="11529" width="12.875" style="664" customWidth="1"/>
    <col min="11530" max="11531" width="12.125" style="664" customWidth="1"/>
    <col min="11532" max="11532" width="11.375" style="664" customWidth="1"/>
    <col min="11533" max="11534" width="11.875" style="664" customWidth="1"/>
    <col min="11535" max="11535" width="11.75" style="664" customWidth="1"/>
    <col min="11536" max="11536" width="11.375" style="664" customWidth="1"/>
    <col min="11537" max="11537" width="11.875" style="664" customWidth="1"/>
    <col min="11538" max="11538" width="11.375" style="664" customWidth="1"/>
    <col min="11539" max="11539" width="10.375" style="664" customWidth="1"/>
    <col min="11540" max="11540" width="12.875" style="664" customWidth="1"/>
    <col min="11541" max="11541" width="11.75" style="664" customWidth="1"/>
    <col min="11542" max="11542" width="11" style="664" customWidth="1"/>
    <col min="11543" max="11776" width="9" style="664"/>
    <col min="11777" max="11777" width="5.375" style="664" customWidth="1"/>
    <col min="11778" max="11778" width="10.125" style="664" customWidth="1"/>
    <col min="11779" max="11779" width="43.875" style="664" customWidth="1"/>
    <col min="11780" max="11780" width="11.625" style="664" customWidth="1"/>
    <col min="11781" max="11781" width="10.375" style="664" customWidth="1"/>
    <col min="11782" max="11782" width="11" style="664" customWidth="1"/>
    <col min="11783" max="11784" width="12.125" style="664" customWidth="1"/>
    <col min="11785" max="11785" width="12.875" style="664" customWidth="1"/>
    <col min="11786" max="11787" width="12.125" style="664" customWidth="1"/>
    <col min="11788" max="11788" width="11.375" style="664" customWidth="1"/>
    <col min="11789" max="11790" width="11.875" style="664" customWidth="1"/>
    <col min="11791" max="11791" width="11.75" style="664" customWidth="1"/>
    <col min="11792" max="11792" width="11.375" style="664" customWidth="1"/>
    <col min="11793" max="11793" width="11.875" style="664" customWidth="1"/>
    <col min="11794" max="11794" width="11.375" style="664" customWidth="1"/>
    <col min="11795" max="11795" width="10.375" style="664" customWidth="1"/>
    <col min="11796" max="11796" width="12.875" style="664" customWidth="1"/>
    <col min="11797" max="11797" width="11.75" style="664" customWidth="1"/>
    <col min="11798" max="11798" width="11" style="664" customWidth="1"/>
    <col min="11799" max="12032" width="9" style="664"/>
    <col min="12033" max="12033" width="5.375" style="664" customWidth="1"/>
    <col min="12034" max="12034" width="10.125" style="664" customWidth="1"/>
    <col min="12035" max="12035" width="43.875" style="664" customWidth="1"/>
    <col min="12036" max="12036" width="11.625" style="664" customWidth="1"/>
    <col min="12037" max="12037" width="10.375" style="664" customWidth="1"/>
    <col min="12038" max="12038" width="11" style="664" customWidth="1"/>
    <col min="12039" max="12040" width="12.125" style="664" customWidth="1"/>
    <col min="12041" max="12041" width="12.875" style="664" customWidth="1"/>
    <col min="12042" max="12043" width="12.125" style="664" customWidth="1"/>
    <col min="12044" max="12044" width="11.375" style="664" customWidth="1"/>
    <col min="12045" max="12046" width="11.875" style="664" customWidth="1"/>
    <col min="12047" max="12047" width="11.75" style="664" customWidth="1"/>
    <col min="12048" max="12048" width="11.375" style="664" customWidth="1"/>
    <col min="12049" max="12049" width="11.875" style="664" customWidth="1"/>
    <col min="12050" max="12050" width="11.375" style="664" customWidth="1"/>
    <col min="12051" max="12051" width="10.375" style="664" customWidth="1"/>
    <col min="12052" max="12052" width="12.875" style="664" customWidth="1"/>
    <col min="12053" max="12053" width="11.75" style="664" customWidth="1"/>
    <col min="12054" max="12054" width="11" style="664" customWidth="1"/>
    <col min="12055" max="12288" width="9" style="664"/>
    <col min="12289" max="12289" width="5.375" style="664" customWidth="1"/>
    <col min="12290" max="12290" width="10.125" style="664" customWidth="1"/>
    <col min="12291" max="12291" width="43.875" style="664" customWidth="1"/>
    <col min="12292" max="12292" width="11.625" style="664" customWidth="1"/>
    <col min="12293" max="12293" width="10.375" style="664" customWidth="1"/>
    <col min="12294" max="12294" width="11" style="664" customWidth="1"/>
    <col min="12295" max="12296" width="12.125" style="664" customWidth="1"/>
    <col min="12297" max="12297" width="12.875" style="664" customWidth="1"/>
    <col min="12298" max="12299" width="12.125" style="664" customWidth="1"/>
    <col min="12300" max="12300" width="11.375" style="664" customWidth="1"/>
    <col min="12301" max="12302" width="11.875" style="664" customWidth="1"/>
    <col min="12303" max="12303" width="11.75" style="664" customWidth="1"/>
    <col min="12304" max="12304" width="11.375" style="664" customWidth="1"/>
    <col min="12305" max="12305" width="11.875" style="664" customWidth="1"/>
    <col min="12306" max="12306" width="11.375" style="664" customWidth="1"/>
    <col min="12307" max="12307" width="10.375" style="664" customWidth="1"/>
    <col min="12308" max="12308" width="12.875" style="664" customWidth="1"/>
    <col min="12309" max="12309" width="11.75" style="664" customWidth="1"/>
    <col min="12310" max="12310" width="11" style="664" customWidth="1"/>
    <col min="12311" max="12544" width="9" style="664"/>
    <col min="12545" max="12545" width="5.375" style="664" customWidth="1"/>
    <col min="12546" max="12546" width="10.125" style="664" customWidth="1"/>
    <col min="12547" max="12547" width="43.875" style="664" customWidth="1"/>
    <col min="12548" max="12548" width="11.625" style="664" customWidth="1"/>
    <col min="12549" max="12549" width="10.375" style="664" customWidth="1"/>
    <col min="12550" max="12550" width="11" style="664" customWidth="1"/>
    <col min="12551" max="12552" width="12.125" style="664" customWidth="1"/>
    <col min="12553" max="12553" width="12.875" style="664" customWidth="1"/>
    <col min="12554" max="12555" width="12.125" style="664" customWidth="1"/>
    <col min="12556" max="12556" width="11.375" style="664" customWidth="1"/>
    <col min="12557" max="12558" width="11.875" style="664" customWidth="1"/>
    <col min="12559" max="12559" width="11.75" style="664" customWidth="1"/>
    <col min="12560" max="12560" width="11.375" style="664" customWidth="1"/>
    <col min="12561" max="12561" width="11.875" style="664" customWidth="1"/>
    <col min="12562" max="12562" width="11.375" style="664" customWidth="1"/>
    <col min="12563" max="12563" width="10.375" style="664" customWidth="1"/>
    <col min="12564" max="12564" width="12.875" style="664" customWidth="1"/>
    <col min="12565" max="12565" width="11.75" style="664" customWidth="1"/>
    <col min="12566" max="12566" width="11" style="664" customWidth="1"/>
    <col min="12567" max="12800" width="9" style="664"/>
    <col min="12801" max="12801" width="5.375" style="664" customWidth="1"/>
    <col min="12802" max="12802" width="10.125" style="664" customWidth="1"/>
    <col min="12803" max="12803" width="43.875" style="664" customWidth="1"/>
    <col min="12804" max="12804" width="11.625" style="664" customWidth="1"/>
    <col min="12805" max="12805" width="10.375" style="664" customWidth="1"/>
    <col min="12806" max="12806" width="11" style="664" customWidth="1"/>
    <col min="12807" max="12808" width="12.125" style="664" customWidth="1"/>
    <col min="12809" max="12809" width="12.875" style="664" customWidth="1"/>
    <col min="12810" max="12811" width="12.125" style="664" customWidth="1"/>
    <col min="12812" max="12812" width="11.375" style="664" customWidth="1"/>
    <col min="12813" max="12814" width="11.875" style="664" customWidth="1"/>
    <col min="12815" max="12815" width="11.75" style="664" customWidth="1"/>
    <col min="12816" max="12816" width="11.375" style="664" customWidth="1"/>
    <col min="12817" max="12817" width="11.875" style="664" customWidth="1"/>
    <col min="12818" max="12818" width="11.375" style="664" customWidth="1"/>
    <col min="12819" max="12819" width="10.375" style="664" customWidth="1"/>
    <col min="12820" max="12820" width="12.875" style="664" customWidth="1"/>
    <col min="12821" max="12821" width="11.75" style="664" customWidth="1"/>
    <col min="12822" max="12822" width="11" style="664" customWidth="1"/>
    <col min="12823" max="13056" width="9" style="664"/>
    <col min="13057" max="13057" width="5.375" style="664" customWidth="1"/>
    <col min="13058" max="13058" width="10.125" style="664" customWidth="1"/>
    <col min="13059" max="13059" width="43.875" style="664" customWidth="1"/>
    <col min="13060" max="13060" width="11.625" style="664" customWidth="1"/>
    <col min="13061" max="13061" width="10.375" style="664" customWidth="1"/>
    <col min="13062" max="13062" width="11" style="664" customWidth="1"/>
    <col min="13063" max="13064" width="12.125" style="664" customWidth="1"/>
    <col min="13065" max="13065" width="12.875" style="664" customWidth="1"/>
    <col min="13066" max="13067" width="12.125" style="664" customWidth="1"/>
    <col min="13068" max="13068" width="11.375" style="664" customWidth="1"/>
    <col min="13069" max="13070" width="11.875" style="664" customWidth="1"/>
    <col min="13071" max="13071" width="11.75" style="664" customWidth="1"/>
    <col min="13072" max="13072" width="11.375" style="664" customWidth="1"/>
    <col min="13073" max="13073" width="11.875" style="664" customWidth="1"/>
    <col min="13074" max="13074" width="11.375" style="664" customWidth="1"/>
    <col min="13075" max="13075" width="10.375" style="664" customWidth="1"/>
    <col min="13076" max="13076" width="12.875" style="664" customWidth="1"/>
    <col min="13077" max="13077" width="11.75" style="664" customWidth="1"/>
    <col min="13078" max="13078" width="11" style="664" customWidth="1"/>
    <col min="13079" max="13312" width="9" style="664"/>
    <col min="13313" max="13313" width="5.375" style="664" customWidth="1"/>
    <col min="13314" max="13314" width="10.125" style="664" customWidth="1"/>
    <col min="13315" max="13315" width="43.875" style="664" customWidth="1"/>
    <col min="13316" max="13316" width="11.625" style="664" customWidth="1"/>
    <col min="13317" max="13317" width="10.375" style="664" customWidth="1"/>
    <col min="13318" max="13318" width="11" style="664" customWidth="1"/>
    <col min="13319" max="13320" width="12.125" style="664" customWidth="1"/>
    <col min="13321" max="13321" width="12.875" style="664" customWidth="1"/>
    <col min="13322" max="13323" width="12.125" style="664" customWidth="1"/>
    <col min="13324" max="13324" width="11.375" style="664" customWidth="1"/>
    <col min="13325" max="13326" width="11.875" style="664" customWidth="1"/>
    <col min="13327" max="13327" width="11.75" style="664" customWidth="1"/>
    <col min="13328" max="13328" width="11.375" style="664" customWidth="1"/>
    <col min="13329" max="13329" width="11.875" style="664" customWidth="1"/>
    <col min="13330" max="13330" width="11.375" style="664" customWidth="1"/>
    <col min="13331" max="13331" width="10.375" style="664" customWidth="1"/>
    <col min="13332" max="13332" width="12.875" style="664" customWidth="1"/>
    <col min="13333" max="13333" width="11.75" style="664" customWidth="1"/>
    <col min="13334" max="13334" width="11" style="664" customWidth="1"/>
    <col min="13335" max="13568" width="9" style="664"/>
    <col min="13569" max="13569" width="5.375" style="664" customWidth="1"/>
    <col min="13570" max="13570" width="10.125" style="664" customWidth="1"/>
    <col min="13571" max="13571" width="43.875" style="664" customWidth="1"/>
    <col min="13572" max="13572" width="11.625" style="664" customWidth="1"/>
    <col min="13573" max="13573" width="10.375" style="664" customWidth="1"/>
    <col min="13574" max="13574" width="11" style="664" customWidth="1"/>
    <col min="13575" max="13576" width="12.125" style="664" customWidth="1"/>
    <col min="13577" max="13577" width="12.875" style="664" customWidth="1"/>
    <col min="13578" max="13579" width="12.125" style="664" customWidth="1"/>
    <col min="13580" max="13580" width="11.375" style="664" customWidth="1"/>
    <col min="13581" max="13582" width="11.875" style="664" customWidth="1"/>
    <col min="13583" max="13583" width="11.75" style="664" customWidth="1"/>
    <col min="13584" max="13584" width="11.375" style="664" customWidth="1"/>
    <col min="13585" max="13585" width="11.875" style="664" customWidth="1"/>
    <col min="13586" max="13586" width="11.375" style="664" customWidth="1"/>
    <col min="13587" max="13587" width="10.375" style="664" customWidth="1"/>
    <col min="13588" max="13588" width="12.875" style="664" customWidth="1"/>
    <col min="13589" max="13589" width="11.75" style="664" customWidth="1"/>
    <col min="13590" max="13590" width="11" style="664" customWidth="1"/>
    <col min="13591" max="13824" width="9" style="664"/>
    <col min="13825" max="13825" width="5.375" style="664" customWidth="1"/>
    <col min="13826" max="13826" width="10.125" style="664" customWidth="1"/>
    <col min="13827" max="13827" width="43.875" style="664" customWidth="1"/>
    <col min="13828" max="13828" width="11.625" style="664" customWidth="1"/>
    <col min="13829" max="13829" width="10.375" style="664" customWidth="1"/>
    <col min="13830" max="13830" width="11" style="664" customWidth="1"/>
    <col min="13831" max="13832" width="12.125" style="664" customWidth="1"/>
    <col min="13833" max="13833" width="12.875" style="664" customWidth="1"/>
    <col min="13834" max="13835" width="12.125" style="664" customWidth="1"/>
    <col min="13836" max="13836" width="11.375" style="664" customWidth="1"/>
    <col min="13837" max="13838" width="11.875" style="664" customWidth="1"/>
    <col min="13839" max="13839" width="11.75" style="664" customWidth="1"/>
    <col min="13840" max="13840" width="11.375" style="664" customWidth="1"/>
    <col min="13841" max="13841" width="11.875" style="664" customWidth="1"/>
    <col min="13842" max="13842" width="11.375" style="664" customWidth="1"/>
    <col min="13843" max="13843" width="10.375" style="664" customWidth="1"/>
    <col min="13844" max="13844" width="12.875" style="664" customWidth="1"/>
    <col min="13845" max="13845" width="11.75" style="664" customWidth="1"/>
    <col min="13846" max="13846" width="11" style="664" customWidth="1"/>
    <col min="13847" max="14080" width="9" style="664"/>
    <col min="14081" max="14081" width="5.375" style="664" customWidth="1"/>
    <col min="14082" max="14082" width="10.125" style="664" customWidth="1"/>
    <col min="14083" max="14083" width="43.875" style="664" customWidth="1"/>
    <col min="14084" max="14084" width="11.625" style="664" customWidth="1"/>
    <col min="14085" max="14085" width="10.375" style="664" customWidth="1"/>
    <col min="14086" max="14086" width="11" style="664" customWidth="1"/>
    <col min="14087" max="14088" width="12.125" style="664" customWidth="1"/>
    <col min="14089" max="14089" width="12.875" style="664" customWidth="1"/>
    <col min="14090" max="14091" width="12.125" style="664" customWidth="1"/>
    <col min="14092" max="14092" width="11.375" style="664" customWidth="1"/>
    <col min="14093" max="14094" width="11.875" style="664" customWidth="1"/>
    <col min="14095" max="14095" width="11.75" style="664" customWidth="1"/>
    <col min="14096" max="14096" width="11.375" style="664" customWidth="1"/>
    <col min="14097" max="14097" width="11.875" style="664" customWidth="1"/>
    <col min="14098" max="14098" width="11.375" style="664" customWidth="1"/>
    <col min="14099" max="14099" width="10.375" style="664" customWidth="1"/>
    <col min="14100" max="14100" width="12.875" style="664" customWidth="1"/>
    <col min="14101" max="14101" width="11.75" style="664" customWidth="1"/>
    <col min="14102" max="14102" width="11" style="664" customWidth="1"/>
    <col min="14103" max="14336" width="9" style="664"/>
    <col min="14337" max="14337" width="5.375" style="664" customWidth="1"/>
    <col min="14338" max="14338" width="10.125" style="664" customWidth="1"/>
    <col min="14339" max="14339" width="43.875" style="664" customWidth="1"/>
    <col min="14340" max="14340" width="11.625" style="664" customWidth="1"/>
    <col min="14341" max="14341" width="10.375" style="664" customWidth="1"/>
    <col min="14342" max="14342" width="11" style="664" customWidth="1"/>
    <col min="14343" max="14344" width="12.125" style="664" customWidth="1"/>
    <col min="14345" max="14345" width="12.875" style="664" customWidth="1"/>
    <col min="14346" max="14347" width="12.125" style="664" customWidth="1"/>
    <col min="14348" max="14348" width="11.375" style="664" customWidth="1"/>
    <col min="14349" max="14350" width="11.875" style="664" customWidth="1"/>
    <col min="14351" max="14351" width="11.75" style="664" customWidth="1"/>
    <col min="14352" max="14352" width="11.375" style="664" customWidth="1"/>
    <col min="14353" max="14353" width="11.875" style="664" customWidth="1"/>
    <col min="14354" max="14354" width="11.375" style="664" customWidth="1"/>
    <col min="14355" max="14355" width="10.375" style="664" customWidth="1"/>
    <col min="14356" max="14356" width="12.875" style="664" customWidth="1"/>
    <col min="14357" max="14357" width="11.75" style="664" customWidth="1"/>
    <col min="14358" max="14358" width="11" style="664" customWidth="1"/>
    <col min="14359" max="14592" width="9" style="664"/>
    <col min="14593" max="14593" width="5.375" style="664" customWidth="1"/>
    <col min="14594" max="14594" width="10.125" style="664" customWidth="1"/>
    <col min="14595" max="14595" width="43.875" style="664" customWidth="1"/>
    <col min="14596" max="14596" width="11.625" style="664" customWidth="1"/>
    <col min="14597" max="14597" width="10.375" style="664" customWidth="1"/>
    <col min="14598" max="14598" width="11" style="664" customWidth="1"/>
    <col min="14599" max="14600" width="12.125" style="664" customWidth="1"/>
    <col min="14601" max="14601" width="12.875" style="664" customWidth="1"/>
    <col min="14602" max="14603" width="12.125" style="664" customWidth="1"/>
    <col min="14604" max="14604" width="11.375" style="664" customWidth="1"/>
    <col min="14605" max="14606" width="11.875" style="664" customWidth="1"/>
    <col min="14607" max="14607" width="11.75" style="664" customWidth="1"/>
    <col min="14608" max="14608" width="11.375" style="664" customWidth="1"/>
    <col min="14609" max="14609" width="11.875" style="664" customWidth="1"/>
    <col min="14610" max="14610" width="11.375" style="664" customWidth="1"/>
    <col min="14611" max="14611" width="10.375" style="664" customWidth="1"/>
    <col min="14612" max="14612" width="12.875" style="664" customWidth="1"/>
    <col min="14613" max="14613" width="11.75" style="664" customWidth="1"/>
    <col min="14614" max="14614" width="11" style="664" customWidth="1"/>
    <col min="14615" max="14848" width="9" style="664"/>
    <col min="14849" max="14849" width="5.375" style="664" customWidth="1"/>
    <col min="14850" max="14850" width="10.125" style="664" customWidth="1"/>
    <col min="14851" max="14851" width="43.875" style="664" customWidth="1"/>
    <col min="14852" max="14852" width="11.625" style="664" customWidth="1"/>
    <col min="14853" max="14853" width="10.375" style="664" customWidth="1"/>
    <col min="14854" max="14854" width="11" style="664" customWidth="1"/>
    <col min="14855" max="14856" width="12.125" style="664" customWidth="1"/>
    <col min="14857" max="14857" width="12.875" style="664" customWidth="1"/>
    <col min="14858" max="14859" width="12.125" style="664" customWidth="1"/>
    <col min="14860" max="14860" width="11.375" style="664" customWidth="1"/>
    <col min="14861" max="14862" width="11.875" style="664" customWidth="1"/>
    <col min="14863" max="14863" width="11.75" style="664" customWidth="1"/>
    <col min="14864" max="14864" width="11.375" style="664" customWidth="1"/>
    <col min="14865" max="14865" width="11.875" style="664" customWidth="1"/>
    <col min="14866" max="14866" width="11.375" style="664" customWidth="1"/>
    <col min="14867" max="14867" width="10.375" style="664" customWidth="1"/>
    <col min="14868" max="14868" width="12.875" style="664" customWidth="1"/>
    <col min="14869" max="14869" width="11.75" style="664" customWidth="1"/>
    <col min="14870" max="14870" width="11" style="664" customWidth="1"/>
    <col min="14871" max="15104" width="9" style="664"/>
    <col min="15105" max="15105" width="5.375" style="664" customWidth="1"/>
    <col min="15106" max="15106" width="10.125" style="664" customWidth="1"/>
    <col min="15107" max="15107" width="43.875" style="664" customWidth="1"/>
    <col min="15108" max="15108" width="11.625" style="664" customWidth="1"/>
    <col min="15109" max="15109" width="10.375" style="664" customWidth="1"/>
    <col min="15110" max="15110" width="11" style="664" customWidth="1"/>
    <col min="15111" max="15112" width="12.125" style="664" customWidth="1"/>
    <col min="15113" max="15113" width="12.875" style="664" customWidth="1"/>
    <col min="15114" max="15115" width="12.125" style="664" customWidth="1"/>
    <col min="15116" max="15116" width="11.375" style="664" customWidth="1"/>
    <col min="15117" max="15118" width="11.875" style="664" customWidth="1"/>
    <col min="15119" max="15119" width="11.75" style="664" customWidth="1"/>
    <col min="15120" max="15120" width="11.375" style="664" customWidth="1"/>
    <col min="15121" max="15121" width="11.875" style="664" customWidth="1"/>
    <col min="15122" max="15122" width="11.375" style="664" customWidth="1"/>
    <col min="15123" max="15123" width="10.375" style="664" customWidth="1"/>
    <col min="15124" max="15124" width="12.875" style="664" customWidth="1"/>
    <col min="15125" max="15125" width="11.75" style="664" customWidth="1"/>
    <col min="15126" max="15126" width="11" style="664" customWidth="1"/>
    <col min="15127" max="15360" width="9" style="664"/>
    <col min="15361" max="15361" width="5.375" style="664" customWidth="1"/>
    <col min="15362" max="15362" width="10.125" style="664" customWidth="1"/>
    <col min="15363" max="15363" width="43.875" style="664" customWidth="1"/>
    <col min="15364" max="15364" width="11.625" style="664" customWidth="1"/>
    <col min="15365" max="15365" width="10.375" style="664" customWidth="1"/>
    <col min="15366" max="15366" width="11" style="664" customWidth="1"/>
    <col min="15367" max="15368" width="12.125" style="664" customWidth="1"/>
    <col min="15369" max="15369" width="12.875" style="664" customWidth="1"/>
    <col min="15370" max="15371" width="12.125" style="664" customWidth="1"/>
    <col min="15372" max="15372" width="11.375" style="664" customWidth="1"/>
    <col min="15373" max="15374" width="11.875" style="664" customWidth="1"/>
    <col min="15375" max="15375" width="11.75" style="664" customWidth="1"/>
    <col min="15376" max="15376" width="11.375" style="664" customWidth="1"/>
    <col min="15377" max="15377" width="11.875" style="664" customWidth="1"/>
    <col min="15378" max="15378" width="11.375" style="664" customWidth="1"/>
    <col min="15379" max="15379" width="10.375" style="664" customWidth="1"/>
    <col min="15380" max="15380" width="12.875" style="664" customWidth="1"/>
    <col min="15381" max="15381" width="11.75" style="664" customWidth="1"/>
    <col min="15382" max="15382" width="11" style="664" customWidth="1"/>
    <col min="15383" max="15616" width="9" style="664"/>
    <col min="15617" max="15617" width="5.375" style="664" customWidth="1"/>
    <col min="15618" max="15618" width="10.125" style="664" customWidth="1"/>
    <col min="15619" max="15619" width="43.875" style="664" customWidth="1"/>
    <col min="15620" max="15620" width="11.625" style="664" customWidth="1"/>
    <col min="15621" max="15621" width="10.375" style="664" customWidth="1"/>
    <col min="15622" max="15622" width="11" style="664" customWidth="1"/>
    <col min="15623" max="15624" width="12.125" style="664" customWidth="1"/>
    <col min="15625" max="15625" width="12.875" style="664" customWidth="1"/>
    <col min="15626" max="15627" width="12.125" style="664" customWidth="1"/>
    <col min="15628" max="15628" width="11.375" style="664" customWidth="1"/>
    <col min="15629" max="15630" width="11.875" style="664" customWidth="1"/>
    <col min="15631" max="15631" width="11.75" style="664" customWidth="1"/>
    <col min="15632" max="15632" width="11.375" style="664" customWidth="1"/>
    <col min="15633" max="15633" width="11.875" style="664" customWidth="1"/>
    <col min="15634" max="15634" width="11.375" style="664" customWidth="1"/>
    <col min="15635" max="15635" width="10.375" style="664" customWidth="1"/>
    <col min="15636" max="15636" width="12.875" style="664" customWidth="1"/>
    <col min="15637" max="15637" width="11.75" style="664" customWidth="1"/>
    <col min="15638" max="15638" width="11" style="664" customWidth="1"/>
    <col min="15639" max="15872" width="9" style="664"/>
    <col min="15873" max="15873" width="5.375" style="664" customWidth="1"/>
    <col min="15874" max="15874" width="10.125" style="664" customWidth="1"/>
    <col min="15875" max="15875" width="43.875" style="664" customWidth="1"/>
    <col min="15876" max="15876" width="11.625" style="664" customWidth="1"/>
    <col min="15877" max="15877" width="10.375" style="664" customWidth="1"/>
    <col min="15878" max="15878" width="11" style="664" customWidth="1"/>
    <col min="15879" max="15880" width="12.125" style="664" customWidth="1"/>
    <col min="15881" max="15881" width="12.875" style="664" customWidth="1"/>
    <col min="15882" max="15883" width="12.125" style="664" customWidth="1"/>
    <col min="15884" max="15884" width="11.375" style="664" customWidth="1"/>
    <col min="15885" max="15886" width="11.875" style="664" customWidth="1"/>
    <col min="15887" max="15887" width="11.75" style="664" customWidth="1"/>
    <col min="15888" max="15888" width="11.375" style="664" customWidth="1"/>
    <col min="15889" max="15889" width="11.875" style="664" customWidth="1"/>
    <col min="15890" max="15890" width="11.375" style="664" customWidth="1"/>
    <col min="15891" max="15891" width="10.375" style="664" customWidth="1"/>
    <col min="15892" max="15892" width="12.875" style="664" customWidth="1"/>
    <col min="15893" max="15893" width="11.75" style="664" customWidth="1"/>
    <col min="15894" max="15894" width="11" style="664" customWidth="1"/>
    <col min="15895" max="16128" width="9" style="664"/>
    <col min="16129" max="16129" width="5.375" style="664" customWidth="1"/>
    <col min="16130" max="16130" width="10.125" style="664" customWidth="1"/>
    <col min="16131" max="16131" width="43.875" style="664" customWidth="1"/>
    <col min="16132" max="16132" width="11.625" style="664" customWidth="1"/>
    <col min="16133" max="16133" width="10.375" style="664" customWidth="1"/>
    <col min="16134" max="16134" width="11" style="664" customWidth="1"/>
    <col min="16135" max="16136" width="12.125" style="664" customWidth="1"/>
    <col min="16137" max="16137" width="12.875" style="664" customWidth="1"/>
    <col min="16138" max="16139" width="12.125" style="664" customWidth="1"/>
    <col min="16140" max="16140" width="11.375" style="664" customWidth="1"/>
    <col min="16141" max="16142" width="11.875" style="664" customWidth="1"/>
    <col min="16143" max="16143" width="11.75" style="664" customWidth="1"/>
    <col min="16144" max="16144" width="11.375" style="664" customWidth="1"/>
    <col min="16145" max="16145" width="11.875" style="664" customWidth="1"/>
    <col min="16146" max="16146" width="11.375" style="664" customWidth="1"/>
    <col min="16147" max="16147" width="10.375" style="664" customWidth="1"/>
    <col min="16148" max="16148" width="12.875" style="664" customWidth="1"/>
    <col min="16149" max="16149" width="11.75" style="664" customWidth="1"/>
    <col min="16150" max="16150" width="11" style="664" customWidth="1"/>
    <col min="16151" max="16384" width="9" style="664"/>
  </cols>
  <sheetData>
    <row r="1" spans="1:22" s="649" customFormat="1" ht="13.5" customHeight="1">
      <c r="A1" s="659" t="s">
        <v>128</v>
      </c>
      <c r="T1" s="649" t="s">
        <v>881</v>
      </c>
    </row>
    <row r="2" spans="1:22" s="649" customFormat="1" ht="13.5" customHeight="1">
      <c r="A2" s="659"/>
      <c r="T2" s="649" t="s">
        <v>882</v>
      </c>
    </row>
    <row r="3" spans="1:22" s="649" customFormat="1" ht="13.5" customHeight="1">
      <c r="A3" s="659"/>
      <c r="T3" s="649" t="s">
        <v>766</v>
      </c>
    </row>
    <row r="4" spans="1:22" s="646" customFormat="1" ht="3" customHeight="1">
      <c r="A4" s="645"/>
    </row>
    <row r="5" spans="1:22" s="646" customFormat="1" ht="36.75" customHeight="1">
      <c r="A5" s="967" t="s">
        <v>810</v>
      </c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7"/>
      <c r="R5" s="967"/>
      <c r="S5" s="967"/>
      <c r="T5" s="967"/>
      <c r="U5" s="967"/>
      <c r="V5" s="967"/>
    </row>
    <row r="6" spans="1:22" s="649" customFormat="1" ht="9.75" customHeight="1">
      <c r="A6" s="658"/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V6" s="659" t="s">
        <v>15</v>
      </c>
    </row>
    <row r="7" spans="1:22" s="646" customFormat="1" ht="28.5" customHeight="1">
      <c r="A7" s="934" t="s">
        <v>209</v>
      </c>
      <c r="B7" s="937" t="s">
        <v>811</v>
      </c>
      <c r="C7" s="940" t="s">
        <v>812</v>
      </c>
      <c r="D7" s="940" t="s">
        <v>771</v>
      </c>
      <c r="E7" s="937" t="s">
        <v>772</v>
      </c>
      <c r="F7" s="940" t="s">
        <v>410</v>
      </c>
      <c r="G7" s="943" t="s">
        <v>813</v>
      </c>
      <c r="H7" s="943" t="s">
        <v>814</v>
      </c>
      <c r="I7" s="945" t="s">
        <v>775</v>
      </c>
      <c r="J7" s="945"/>
      <c r="K7" s="945"/>
      <c r="L7" s="945"/>
      <c r="M7" s="945"/>
      <c r="N7" s="945"/>
      <c r="O7" s="945"/>
      <c r="P7" s="945"/>
      <c r="Q7" s="945"/>
      <c r="R7" s="945"/>
      <c r="S7" s="945"/>
      <c r="T7" s="945"/>
      <c r="U7" s="945"/>
      <c r="V7" s="945"/>
    </row>
    <row r="8" spans="1:22" s="646" customFormat="1" ht="21.75" customHeight="1">
      <c r="A8" s="935"/>
      <c r="B8" s="938"/>
      <c r="C8" s="941"/>
      <c r="D8" s="941"/>
      <c r="E8" s="938"/>
      <c r="F8" s="941"/>
      <c r="G8" s="943"/>
      <c r="H8" s="943"/>
      <c r="I8" s="945"/>
      <c r="J8" s="945"/>
      <c r="K8" s="945"/>
      <c r="L8" s="945"/>
      <c r="M8" s="945"/>
      <c r="N8" s="945"/>
      <c r="O8" s="945"/>
      <c r="P8" s="945"/>
      <c r="Q8" s="945"/>
      <c r="R8" s="945"/>
      <c r="S8" s="945"/>
      <c r="T8" s="945"/>
      <c r="U8" s="945"/>
      <c r="V8" s="945"/>
    </row>
    <row r="9" spans="1:22" s="646" customFormat="1" ht="15.75" customHeight="1">
      <c r="A9" s="935"/>
      <c r="B9" s="938"/>
      <c r="C9" s="941"/>
      <c r="D9" s="941"/>
      <c r="E9" s="938"/>
      <c r="F9" s="941"/>
      <c r="G9" s="694" t="s">
        <v>776</v>
      </c>
      <c r="H9" s="694" t="s">
        <v>776</v>
      </c>
      <c r="I9" s="945" t="s">
        <v>777</v>
      </c>
      <c r="J9" s="946" t="s">
        <v>778</v>
      </c>
      <c r="K9" s="946"/>
      <c r="L9" s="946"/>
      <c r="M9" s="947" t="s">
        <v>779</v>
      </c>
      <c r="N9" s="946" t="s">
        <v>815</v>
      </c>
      <c r="O9" s="946"/>
      <c r="P9" s="946"/>
      <c r="Q9" s="946"/>
      <c r="R9" s="946"/>
      <c r="S9" s="946"/>
      <c r="T9" s="946"/>
      <c r="U9" s="946"/>
      <c r="V9" s="946"/>
    </row>
    <row r="10" spans="1:22" s="646" customFormat="1" ht="12.75" customHeight="1">
      <c r="A10" s="935"/>
      <c r="B10" s="938"/>
      <c r="C10" s="941"/>
      <c r="D10" s="941"/>
      <c r="E10" s="938"/>
      <c r="F10" s="941"/>
      <c r="G10" s="694" t="s">
        <v>781</v>
      </c>
      <c r="H10" s="694" t="s">
        <v>781</v>
      </c>
      <c r="I10" s="945"/>
      <c r="J10" s="946"/>
      <c r="K10" s="946"/>
      <c r="L10" s="946"/>
      <c r="M10" s="947"/>
      <c r="N10" s="948" t="s">
        <v>782</v>
      </c>
      <c r="O10" s="948"/>
      <c r="P10" s="948"/>
      <c r="Q10" s="948" t="s">
        <v>783</v>
      </c>
      <c r="R10" s="948"/>
      <c r="S10" s="948"/>
      <c r="T10" s="947" t="s">
        <v>816</v>
      </c>
      <c r="U10" s="947"/>
      <c r="V10" s="947"/>
    </row>
    <row r="11" spans="1:22" s="646" customFormat="1" ht="14.25" customHeight="1">
      <c r="A11" s="935"/>
      <c r="B11" s="938"/>
      <c r="C11" s="941"/>
      <c r="D11" s="941"/>
      <c r="E11" s="938"/>
      <c r="F11" s="941"/>
      <c r="G11" s="694" t="s">
        <v>785</v>
      </c>
      <c r="H11" s="694" t="s">
        <v>785</v>
      </c>
      <c r="I11" s="945"/>
      <c r="J11" s="948" t="s">
        <v>17</v>
      </c>
      <c r="K11" s="948" t="s">
        <v>786</v>
      </c>
      <c r="L11" s="948" t="s">
        <v>787</v>
      </c>
      <c r="M11" s="947"/>
      <c r="N11" s="948" t="s">
        <v>17</v>
      </c>
      <c r="O11" s="948" t="s">
        <v>788</v>
      </c>
      <c r="P11" s="949" t="s">
        <v>787</v>
      </c>
      <c r="Q11" s="948" t="s">
        <v>17</v>
      </c>
      <c r="R11" s="948" t="s">
        <v>788</v>
      </c>
      <c r="S11" s="949" t="s">
        <v>787</v>
      </c>
      <c r="T11" s="947" t="s">
        <v>17</v>
      </c>
      <c r="U11" s="948" t="s">
        <v>788</v>
      </c>
      <c r="V11" s="949" t="s">
        <v>787</v>
      </c>
    </row>
    <row r="12" spans="1:22" s="646" customFormat="1" ht="16.5" customHeight="1">
      <c r="A12" s="936"/>
      <c r="B12" s="939"/>
      <c r="C12" s="942"/>
      <c r="D12" s="942"/>
      <c r="E12" s="939"/>
      <c r="F12" s="942"/>
      <c r="G12" s="694" t="s">
        <v>816</v>
      </c>
      <c r="H12" s="694" t="s">
        <v>816</v>
      </c>
      <c r="I12" s="945"/>
      <c r="J12" s="948"/>
      <c r="K12" s="948"/>
      <c r="L12" s="948"/>
      <c r="M12" s="947"/>
      <c r="N12" s="948"/>
      <c r="O12" s="948"/>
      <c r="P12" s="949"/>
      <c r="Q12" s="948"/>
      <c r="R12" s="948"/>
      <c r="S12" s="949"/>
      <c r="T12" s="947"/>
      <c r="U12" s="948"/>
      <c r="V12" s="949"/>
    </row>
    <row r="13" spans="1:22" s="648" customFormat="1" ht="13.5" customHeight="1">
      <c r="A13" s="647">
        <v>1</v>
      </c>
      <c r="B13" s="647">
        <v>2</v>
      </c>
      <c r="C13" s="647">
        <v>3</v>
      </c>
      <c r="D13" s="647">
        <v>4</v>
      </c>
      <c r="E13" s="647">
        <v>5</v>
      </c>
      <c r="F13" s="647">
        <v>6</v>
      </c>
      <c r="G13" s="647">
        <v>7</v>
      </c>
      <c r="H13" s="647">
        <v>8</v>
      </c>
      <c r="I13" s="647" t="s">
        <v>790</v>
      </c>
      <c r="J13" s="647" t="s">
        <v>791</v>
      </c>
      <c r="K13" s="647">
        <v>11</v>
      </c>
      <c r="L13" s="647">
        <v>12</v>
      </c>
      <c r="M13" s="647" t="s">
        <v>792</v>
      </c>
      <c r="N13" s="647" t="s">
        <v>793</v>
      </c>
      <c r="O13" s="647">
        <v>15</v>
      </c>
      <c r="P13" s="647">
        <v>16</v>
      </c>
      <c r="Q13" s="647" t="s">
        <v>794</v>
      </c>
      <c r="R13" s="647">
        <v>18</v>
      </c>
      <c r="S13" s="647">
        <v>19</v>
      </c>
      <c r="T13" s="647" t="s">
        <v>795</v>
      </c>
      <c r="U13" s="647">
        <v>21</v>
      </c>
      <c r="V13" s="647">
        <v>22</v>
      </c>
    </row>
    <row r="14" spans="1:22" s="648" customFormat="1" ht="5.25" customHeight="1">
      <c r="A14" s="972"/>
      <c r="B14" s="973"/>
      <c r="C14" s="973"/>
      <c r="D14" s="973"/>
      <c r="E14" s="973"/>
      <c r="F14" s="973"/>
      <c r="G14" s="973"/>
      <c r="H14" s="973"/>
      <c r="I14" s="973"/>
      <c r="J14" s="973"/>
      <c r="K14" s="973"/>
      <c r="L14" s="973"/>
      <c r="M14" s="973"/>
      <c r="N14" s="973"/>
      <c r="O14" s="973"/>
      <c r="P14" s="973"/>
      <c r="Q14" s="973"/>
      <c r="R14" s="973"/>
      <c r="S14" s="973"/>
      <c r="T14" s="973"/>
      <c r="U14" s="973"/>
      <c r="V14" s="974"/>
    </row>
    <row r="15" spans="1:22" s="648" customFormat="1" ht="23.25" customHeight="1">
      <c r="A15" s="975" t="s">
        <v>817</v>
      </c>
      <c r="B15" s="976"/>
      <c r="C15" s="976"/>
      <c r="D15" s="976"/>
      <c r="E15" s="976"/>
      <c r="F15" s="976"/>
      <c r="G15" s="976"/>
      <c r="H15" s="976"/>
      <c r="I15" s="976"/>
      <c r="J15" s="976"/>
      <c r="K15" s="976"/>
      <c r="L15" s="976"/>
      <c r="M15" s="976"/>
      <c r="N15" s="976"/>
      <c r="O15" s="976"/>
      <c r="P15" s="976"/>
      <c r="Q15" s="976"/>
      <c r="R15" s="976"/>
      <c r="S15" s="976"/>
      <c r="T15" s="976"/>
      <c r="U15" s="976"/>
      <c r="V15" s="977"/>
    </row>
    <row r="16" spans="1:22" s="648" customFormat="1" ht="4.5" customHeight="1">
      <c r="A16" s="972"/>
      <c r="B16" s="973"/>
      <c r="C16" s="973"/>
      <c r="D16" s="973"/>
      <c r="E16" s="973"/>
      <c r="F16" s="973"/>
      <c r="G16" s="973"/>
      <c r="H16" s="973"/>
      <c r="I16" s="973"/>
      <c r="J16" s="973"/>
      <c r="K16" s="973"/>
      <c r="L16" s="973"/>
      <c r="M16" s="973"/>
      <c r="N16" s="973"/>
      <c r="O16" s="973"/>
      <c r="P16" s="973"/>
      <c r="Q16" s="973"/>
      <c r="R16" s="973"/>
      <c r="S16" s="973"/>
      <c r="T16" s="973"/>
      <c r="U16" s="973"/>
      <c r="V16" s="974"/>
    </row>
    <row r="17" spans="1:22" s="661" customFormat="1" ht="14.1" customHeight="1">
      <c r="A17" s="950">
        <v>1</v>
      </c>
      <c r="B17" s="971" t="s">
        <v>818</v>
      </c>
      <c r="C17" s="968" t="s">
        <v>819</v>
      </c>
      <c r="D17" s="961" t="s">
        <v>424</v>
      </c>
      <c r="E17" s="971" t="s">
        <v>820</v>
      </c>
      <c r="F17" s="950" t="s">
        <v>821</v>
      </c>
      <c r="G17" s="660">
        <f>G19+G18+G20+G21</f>
        <v>33548200</v>
      </c>
      <c r="H17" s="660">
        <f>H19+H18+H20+H21</f>
        <v>0</v>
      </c>
      <c r="I17" s="979">
        <f>J17+M17</f>
        <v>8717050</v>
      </c>
      <c r="J17" s="979">
        <f>K17+L17</f>
        <v>7709117</v>
      </c>
      <c r="K17" s="978">
        <v>216367</v>
      </c>
      <c r="L17" s="978">
        <v>7492750</v>
      </c>
      <c r="M17" s="979">
        <f>N17+Q17+T17</f>
        <v>1007933</v>
      </c>
      <c r="N17" s="979">
        <f>O17+P17</f>
        <v>0</v>
      </c>
      <c r="O17" s="978">
        <v>0</v>
      </c>
      <c r="P17" s="978">
        <v>0</v>
      </c>
      <c r="Q17" s="979">
        <f>R17+S17</f>
        <v>1007933</v>
      </c>
      <c r="R17" s="978">
        <v>38183</v>
      </c>
      <c r="S17" s="978">
        <v>969750</v>
      </c>
      <c r="T17" s="979">
        <f>U17+V17</f>
        <v>0</v>
      </c>
      <c r="U17" s="978">
        <v>0</v>
      </c>
      <c r="V17" s="978">
        <v>0</v>
      </c>
    </row>
    <row r="18" spans="1:22" s="661" customFormat="1" ht="14.1" customHeight="1">
      <c r="A18" s="950"/>
      <c r="B18" s="971"/>
      <c r="C18" s="969"/>
      <c r="D18" s="961"/>
      <c r="E18" s="971"/>
      <c r="F18" s="950"/>
      <c r="G18" s="660">
        <v>29714470</v>
      </c>
      <c r="H18" s="660">
        <v>0</v>
      </c>
      <c r="I18" s="979"/>
      <c r="J18" s="979"/>
      <c r="K18" s="978"/>
      <c r="L18" s="978"/>
      <c r="M18" s="979"/>
      <c r="N18" s="979"/>
      <c r="O18" s="978"/>
      <c r="P18" s="978"/>
      <c r="Q18" s="979"/>
      <c r="R18" s="978"/>
      <c r="S18" s="978"/>
      <c r="T18" s="979"/>
      <c r="U18" s="978"/>
      <c r="V18" s="978"/>
    </row>
    <row r="19" spans="1:22" s="661" customFormat="1" ht="14.1" customHeight="1">
      <c r="A19" s="950"/>
      <c r="B19" s="971"/>
      <c r="C19" s="969"/>
      <c r="D19" s="961"/>
      <c r="E19" s="971"/>
      <c r="F19" s="950"/>
      <c r="G19" s="660">
        <v>0</v>
      </c>
      <c r="H19" s="660">
        <v>0</v>
      </c>
      <c r="I19" s="979"/>
      <c r="J19" s="979"/>
      <c r="K19" s="978"/>
      <c r="L19" s="978"/>
      <c r="M19" s="979"/>
      <c r="N19" s="979"/>
      <c r="O19" s="978"/>
      <c r="P19" s="978"/>
      <c r="Q19" s="979"/>
      <c r="R19" s="978"/>
      <c r="S19" s="978"/>
      <c r="T19" s="979"/>
      <c r="U19" s="978"/>
      <c r="V19" s="978"/>
    </row>
    <row r="20" spans="1:22" s="661" customFormat="1" ht="14.1" customHeight="1">
      <c r="A20" s="950"/>
      <c r="B20" s="971"/>
      <c r="C20" s="969"/>
      <c r="D20" s="961"/>
      <c r="E20" s="971"/>
      <c r="F20" s="950"/>
      <c r="G20" s="660">
        <v>3833730</v>
      </c>
      <c r="H20" s="660">
        <v>0</v>
      </c>
      <c r="I20" s="979"/>
      <c r="J20" s="979"/>
      <c r="K20" s="978"/>
      <c r="L20" s="978"/>
      <c r="M20" s="979"/>
      <c r="N20" s="979"/>
      <c r="O20" s="978"/>
      <c r="P20" s="978"/>
      <c r="Q20" s="979"/>
      <c r="R20" s="978"/>
      <c r="S20" s="978"/>
      <c r="T20" s="979"/>
      <c r="U20" s="978"/>
      <c r="V20" s="978"/>
    </row>
    <row r="21" spans="1:22" s="661" customFormat="1" ht="14.1" customHeight="1">
      <c r="A21" s="950"/>
      <c r="B21" s="971"/>
      <c r="C21" s="970"/>
      <c r="D21" s="961"/>
      <c r="E21" s="971"/>
      <c r="F21" s="950"/>
      <c r="G21" s="660">
        <v>0</v>
      </c>
      <c r="H21" s="660">
        <v>0</v>
      </c>
      <c r="I21" s="979"/>
      <c r="J21" s="979"/>
      <c r="K21" s="978"/>
      <c r="L21" s="978"/>
      <c r="M21" s="979"/>
      <c r="N21" s="979"/>
      <c r="O21" s="978"/>
      <c r="P21" s="978"/>
      <c r="Q21" s="979"/>
      <c r="R21" s="978"/>
      <c r="S21" s="978"/>
      <c r="T21" s="979"/>
      <c r="U21" s="978"/>
      <c r="V21" s="978"/>
    </row>
    <row r="22" spans="1:22" s="661" customFormat="1" ht="14.1" customHeight="1">
      <c r="A22" s="950">
        <v>2</v>
      </c>
      <c r="B22" s="971" t="s">
        <v>818</v>
      </c>
      <c r="C22" s="968" t="s">
        <v>822</v>
      </c>
      <c r="D22" s="961" t="s">
        <v>424</v>
      </c>
      <c r="E22" s="971" t="s">
        <v>820</v>
      </c>
      <c r="F22" s="950" t="s">
        <v>821</v>
      </c>
      <c r="G22" s="660">
        <f>G23+G24+G25+G26</f>
        <v>34600339</v>
      </c>
      <c r="H22" s="660">
        <f>H23+H24+H25+H26</f>
        <v>0</v>
      </c>
      <c r="I22" s="979">
        <f>J22+M22</f>
        <v>8980084</v>
      </c>
      <c r="J22" s="979">
        <f>K22+L22</f>
        <v>7946526</v>
      </c>
      <c r="K22" s="978">
        <v>223282</v>
      </c>
      <c r="L22" s="978">
        <v>7723244</v>
      </c>
      <c r="M22" s="979">
        <f>N22+Q22+T22</f>
        <v>1033558</v>
      </c>
      <c r="N22" s="979">
        <f>O22+P22</f>
        <v>0</v>
      </c>
      <c r="O22" s="978">
        <v>0</v>
      </c>
      <c r="P22" s="978">
        <v>0</v>
      </c>
      <c r="Q22" s="979">
        <f>R22+S22</f>
        <v>1033558</v>
      </c>
      <c r="R22" s="978">
        <v>39403</v>
      </c>
      <c r="S22" s="978">
        <v>994155</v>
      </c>
      <c r="T22" s="979">
        <f>U22+V22</f>
        <v>0</v>
      </c>
      <c r="U22" s="978">
        <v>0</v>
      </c>
      <c r="V22" s="978">
        <v>0</v>
      </c>
    </row>
    <row r="23" spans="1:22" s="661" customFormat="1" ht="14.1" customHeight="1">
      <c r="A23" s="950"/>
      <c r="B23" s="971"/>
      <c r="C23" s="969"/>
      <c r="D23" s="961"/>
      <c r="E23" s="971"/>
      <c r="F23" s="950"/>
      <c r="G23" s="660">
        <v>30664107</v>
      </c>
      <c r="H23" s="660">
        <v>0</v>
      </c>
      <c r="I23" s="979"/>
      <c r="J23" s="979"/>
      <c r="K23" s="978"/>
      <c r="L23" s="978"/>
      <c r="M23" s="979"/>
      <c r="N23" s="979"/>
      <c r="O23" s="978"/>
      <c r="P23" s="978"/>
      <c r="Q23" s="979"/>
      <c r="R23" s="978"/>
      <c r="S23" s="978"/>
      <c r="T23" s="979"/>
      <c r="U23" s="978"/>
      <c r="V23" s="978"/>
    </row>
    <row r="24" spans="1:22" s="661" customFormat="1" ht="14.1" customHeight="1">
      <c r="A24" s="950"/>
      <c r="B24" s="971"/>
      <c r="C24" s="969"/>
      <c r="D24" s="961"/>
      <c r="E24" s="971"/>
      <c r="F24" s="950"/>
      <c r="G24" s="660">
        <v>0</v>
      </c>
      <c r="H24" s="660">
        <v>0</v>
      </c>
      <c r="I24" s="979"/>
      <c r="J24" s="979"/>
      <c r="K24" s="978"/>
      <c r="L24" s="978"/>
      <c r="M24" s="979"/>
      <c r="N24" s="979"/>
      <c r="O24" s="978"/>
      <c r="P24" s="978"/>
      <c r="Q24" s="979"/>
      <c r="R24" s="978"/>
      <c r="S24" s="978"/>
      <c r="T24" s="979"/>
      <c r="U24" s="978"/>
      <c r="V24" s="978"/>
    </row>
    <row r="25" spans="1:22" s="661" customFormat="1" ht="14.1" customHeight="1">
      <c r="A25" s="950"/>
      <c r="B25" s="971"/>
      <c r="C25" s="969"/>
      <c r="D25" s="961"/>
      <c r="E25" s="971"/>
      <c r="F25" s="950"/>
      <c r="G25" s="660">
        <v>3936232</v>
      </c>
      <c r="H25" s="660">
        <v>0</v>
      </c>
      <c r="I25" s="979"/>
      <c r="J25" s="979"/>
      <c r="K25" s="978"/>
      <c r="L25" s="978"/>
      <c r="M25" s="979"/>
      <c r="N25" s="979"/>
      <c r="O25" s="978"/>
      <c r="P25" s="978"/>
      <c r="Q25" s="979"/>
      <c r="R25" s="978"/>
      <c r="S25" s="978"/>
      <c r="T25" s="979"/>
      <c r="U25" s="978"/>
      <c r="V25" s="978"/>
    </row>
    <row r="26" spans="1:22" s="661" customFormat="1" ht="14.1" customHeight="1">
      <c r="A26" s="950"/>
      <c r="B26" s="971"/>
      <c r="C26" s="970"/>
      <c r="D26" s="961"/>
      <c r="E26" s="971"/>
      <c r="F26" s="950"/>
      <c r="G26" s="660">
        <v>0</v>
      </c>
      <c r="H26" s="660">
        <v>0</v>
      </c>
      <c r="I26" s="979"/>
      <c r="J26" s="979"/>
      <c r="K26" s="978"/>
      <c r="L26" s="978"/>
      <c r="M26" s="979"/>
      <c r="N26" s="979"/>
      <c r="O26" s="978"/>
      <c r="P26" s="978"/>
      <c r="Q26" s="979"/>
      <c r="R26" s="978"/>
      <c r="S26" s="978"/>
      <c r="T26" s="979"/>
      <c r="U26" s="978"/>
      <c r="V26" s="978"/>
    </row>
    <row r="27" spans="1:22" s="661" customFormat="1" ht="14.1" customHeight="1">
      <c r="A27" s="950">
        <v>3</v>
      </c>
      <c r="B27" s="971" t="s">
        <v>818</v>
      </c>
      <c r="C27" s="968" t="s">
        <v>823</v>
      </c>
      <c r="D27" s="961" t="s">
        <v>424</v>
      </c>
      <c r="E27" s="971" t="s">
        <v>820</v>
      </c>
      <c r="F27" s="950" t="s">
        <v>821</v>
      </c>
      <c r="G27" s="660">
        <f>G28+G29+G30+G31</f>
        <v>18942200</v>
      </c>
      <c r="H27" s="660">
        <f>H28+H29+H30+H31</f>
        <v>0</v>
      </c>
      <c r="I27" s="979">
        <f>J27+M27</f>
        <v>5065550</v>
      </c>
      <c r="J27" s="979">
        <f>K27+L27</f>
        <v>4513542</v>
      </c>
      <c r="K27" s="978">
        <v>123292</v>
      </c>
      <c r="L27" s="978">
        <v>4390250</v>
      </c>
      <c r="M27" s="979">
        <f>N27+Q27+T27</f>
        <v>552008</v>
      </c>
      <c r="N27" s="979">
        <f>O27+P27</f>
        <v>0</v>
      </c>
      <c r="O27" s="978">
        <v>0</v>
      </c>
      <c r="P27" s="978">
        <v>0</v>
      </c>
      <c r="Q27" s="979">
        <f>R27+S27</f>
        <v>552008</v>
      </c>
      <c r="R27" s="978">
        <v>21758</v>
      </c>
      <c r="S27" s="978">
        <v>530250</v>
      </c>
      <c r="T27" s="979">
        <f>U27+V27</f>
        <v>0</v>
      </c>
      <c r="U27" s="978">
        <v>0</v>
      </c>
      <c r="V27" s="978">
        <v>0</v>
      </c>
    </row>
    <row r="28" spans="1:22" s="661" customFormat="1" ht="14.1" customHeight="1">
      <c r="A28" s="950"/>
      <c r="B28" s="971"/>
      <c r="C28" s="969"/>
      <c r="D28" s="961"/>
      <c r="E28" s="971"/>
      <c r="F28" s="950"/>
      <c r="G28" s="660">
        <v>16932170</v>
      </c>
      <c r="H28" s="660">
        <v>0</v>
      </c>
      <c r="I28" s="979"/>
      <c r="J28" s="979"/>
      <c r="K28" s="978"/>
      <c r="L28" s="978"/>
      <c r="M28" s="979"/>
      <c r="N28" s="979"/>
      <c r="O28" s="978"/>
      <c r="P28" s="978"/>
      <c r="Q28" s="979"/>
      <c r="R28" s="978"/>
      <c r="S28" s="978"/>
      <c r="T28" s="979"/>
      <c r="U28" s="978"/>
      <c r="V28" s="978"/>
    </row>
    <row r="29" spans="1:22" s="661" customFormat="1" ht="14.1" customHeight="1">
      <c r="A29" s="950"/>
      <c r="B29" s="971"/>
      <c r="C29" s="969"/>
      <c r="D29" s="961"/>
      <c r="E29" s="971"/>
      <c r="F29" s="950"/>
      <c r="G29" s="660">
        <v>0</v>
      </c>
      <c r="H29" s="660">
        <v>0</v>
      </c>
      <c r="I29" s="979"/>
      <c r="J29" s="979"/>
      <c r="K29" s="978"/>
      <c r="L29" s="978"/>
      <c r="M29" s="979"/>
      <c r="N29" s="979"/>
      <c r="O29" s="978"/>
      <c r="P29" s="978"/>
      <c r="Q29" s="979"/>
      <c r="R29" s="978"/>
      <c r="S29" s="978"/>
      <c r="T29" s="979"/>
      <c r="U29" s="978"/>
      <c r="V29" s="978"/>
    </row>
    <row r="30" spans="1:22" s="661" customFormat="1" ht="14.1" customHeight="1">
      <c r="A30" s="950"/>
      <c r="B30" s="971"/>
      <c r="C30" s="969"/>
      <c r="D30" s="961"/>
      <c r="E30" s="971"/>
      <c r="F30" s="950"/>
      <c r="G30" s="660">
        <v>2010030</v>
      </c>
      <c r="H30" s="660">
        <v>0</v>
      </c>
      <c r="I30" s="979"/>
      <c r="J30" s="979"/>
      <c r="K30" s="978"/>
      <c r="L30" s="978"/>
      <c r="M30" s="979"/>
      <c r="N30" s="979"/>
      <c r="O30" s="978"/>
      <c r="P30" s="978"/>
      <c r="Q30" s="979"/>
      <c r="R30" s="978"/>
      <c r="S30" s="978"/>
      <c r="T30" s="979"/>
      <c r="U30" s="978"/>
      <c r="V30" s="978"/>
    </row>
    <row r="31" spans="1:22" s="661" customFormat="1" ht="14.1" customHeight="1">
      <c r="A31" s="950"/>
      <c r="B31" s="971"/>
      <c r="C31" s="970"/>
      <c r="D31" s="961"/>
      <c r="E31" s="971"/>
      <c r="F31" s="950"/>
      <c r="G31" s="660">
        <v>0</v>
      </c>
      <c r="H31" s="660">
        <v>0</v>
      </c>
      <c r="I31" s="979"/>
      <c r="J31" s="979"/>
      <c r="K31" s="978"/>
      <c r="L31" s="978"/>
      <c r="M31" s="979"/>
      <c r="N31" s="979"/>
      <c r="O31" s="978"/>
      <c r="P31" s="978"/>
      <c r="Q31" s="979"/>
      <c r="R31" s="978"/>
      <c r="S31" s="978"/>
      <c r="T31" s="979"/>
      <c r="U31" s="978"/>
      <c r="V31" s="978"/>
    </row>
    <row r="32" spans="1:22" s="661" customFormat="1" ht="14.1" customHeight="1">
      <c r="A32" s="950">
        <v>4</v>
      </c>
      <c r="B32" s="971" t="s">
        <v>824</v>
      </c>
      <c r="C32" s="968" t="s">
        <v>825</v>
      </c>
      <c r="D32" s="961" t="s">
        <v>826</v>
      </c>
      <c r="E32" s="971" t="s">
        <v>827</v>
      </c>
      <c r="F32" s="950" t="s">
        <v>828</v>
      </c>
      <c r="G32" s="660">
        <f>G33+G34+G35+G36</f>
        <v>9631826</v>
      </c>
      <c r="H32" s="660">
        <f>H33+H34+H35+H36</f>
        <v>0</v>
      </c>
      <c r="I32" s="979">
        <f>J32+M32</f>
        <v>9631826</v>
      </c>
      <c r="J32" s="979">
        <f>K32+L32</f>
        <v>8187052</v>
      </c>
      <c r="K32" s="978">
        <v>64060</v>
      </c>
      <c r="L32" s="978">
        <v>8122992</v>
      </c>
      <c r="M32" s="979">
        <f>N32+Q32+T32</f>
        <v>1444774</v>
      </c>
      <c r="N32" s="979">
        <f>O32+P32</f>
        <v>963183</v>
      </c>
      <c r="O32" s="978">
        <v>7537</v>
      </c>
      <c r="P32" s="978">
        <v>955646</v>
      </c>
      <c r="Q32" s="979">
        <f>R32+S32</f>
        <v>481591</v>
      </c>
      <c r="R32" s="978">
        <v>3768</v>
      </c>
      <c r="S32" s="978">
        <v>477823</v>
      </c>
      <c r="T32" s="979">
        <f>U32+V32</f>
        <v>0</v>
      </c>
      <c r="U32" s="978">
        <v>0</v>
      </c>
      <c r="V32" s="978">
        <v>0</v>
      </c>
    </row>
    <row r="33" spans="1:22" s="661" customFormat="1" ht="14.1" customHeight="1">
      <c r="A33" s="950"/>
      <c r="B33" s="971"/>
      <c r="C33" s="969"/>
      <c r="D33" s="961"/>
      <c r="E33" s="971"/>
      <c r="F33" s="950"/>
      <c r="G33" s="660">
        <v>8187052</v>
      </c>
      <c r="H33" s="660">
        <v>0</v>
      </c>
      <c r="I33" s="979"/>
      <c r="J33" s="979"/>
      <c r="K33" s="978"/>
      <c r="L33" s="978"/>
      <c r="M33" s="979"/>
      <c r="N33" s="979"/>
      <c r="O33" s="978"/>
      <c r="P33" s="978"/>
      <c r="Q33" s="979"/>
      <c r="R33" s="978"/>
      <c r="S33" s="978"/>
      <c r="T33" s="979"/>
      <c r="U33" s="978"/>
      <c r="V33" s="978"/>
    </row>
    <row r="34" spans="1:22" s="661" customFormat="1" ht="14.1" customHeight="1">
      <c r="A34" s="950"/>
      <c r="B34" s="971"/>
      <c r="C34" s="969"/>
      <c r="D34" s="961"/>
      <c r="E34" s="971"/>
      <c r="F34" s="950"/>
      <c r="G34" s="660">
        <v>963183</v>
      </c>
      <c r="H34" s="660">
        <v>0</v>
      </c>
      <c r="I34" s="979"/>
      <c r="J34" s="979"/>
      <c r="K34" s="978"/>
      <c r="L34" s="978"/>
      <c r="M34" s="979"/>
      <c r="N34" s="979"/>
      <c r="O34" s="978"/>
      <c r="P34" s="978"/>
      <c r="Q34" s="979"/>
      <c r="R34" s="978"/>
      <c r="S34" s="978"/>
      <c r="T34" s="979"/>
      <c r="U34" s="978"/>
      <c r="V34" s="978"/>
    </row>
    <row r="35" spans="1:22" s="661" customFormat="1" ht="14.1" customHeight="1">
      <c r="A35" s="950"/>
      <c r="B35" s="971"/>
      <c r="C35" s="969"/>
      <c r="D35" s="961"/>
      <c r="E35" s="971"/>
      <c r="F35" s="950"/>
      <c r="G35" s="660">
        <v>481591</v>
      </c>
      <c r="H35" s="660">
        <v>0</v>
      </c>
      <c r="I35" s="979"/>
      <c r="J35" s="979"/>
      <c r="K35" s="978"/>
      <c r="L35" s="978"/>
      <c r="M35" s="979"/>
      <c r="N35" s="979"/>
      <c r="O35" s="978"/>
      <c r="P35" s="978"/>
      <c r="Q35" s="979"/>
      <c r="R35" s="978"/>
      <c r="S35" s="978"/>
      <c r="T35" s="979"/>
      <c r="U35" s="978"/>
      <c r="V35" s="978"/>
    </row>
    <row r="36" spans="1:22" s="661" customFormat="1" ht="14.1" customHeight="1">
      <c r="A36" s="950"/>
      <c r="B36" s="971"/>
      <c r="C36" s="970"/>
      <c r="D36" s="961"/>
      <c r="E36" s="971"/>
      <c r="F36" s="950"/>
      <c r="G36" s="660">
        <v>0</v>
      </c>
      <c r="H36" s="660">
        <v>0</v>
      </c>
      <c r="I36" s="979"/>
      <c r="J36" s="979"/>
      <c r="K36" s="978"/>
      <c r="L36" s="978"/>
      <c r="M36" s="979"/>
      <c r="N36" s="979"/>
      <c r="O36" s="978"/>
      <c r="P36" s="978"/>
      <c r="Q36" s="979"/>
      <c r="R36" s="978"/>
      <c r="S36" s="978"/>
      <c r="T36" s="979"/>
      <c r="U36" s="978"/>
      <c r="V36" s="978"/>
    </row>
    <row r="37" spans="1:22" s="661" customFormat="1" ht="14.1" customHeight="1">
      <c r="A37" s="950">
        <v>5</v>
      </c>
      <c r="B37" s="971" t="s">
        <v>824</v>
      </c>
      <c r="C37" s="968" t="s">
        <v>829</v>
      </c>
      <c r="D37" s="961" t="s">
        <v>826</v>
      </c>
      <c r="E37" s="971" t="s">
        <v>827</v>
      </c>
      <c r="F37" s="950" t="s">
        <v>828</v>
      </c>
      <c r="G37" s="660">
        <f>G38+G39+G40+G41</f>
        <v>33169603</v>
      </c>
      <c r="H37" s="660">
        <f>H38+H39+H40+H41</f>
        <v>0</v>
      </c>
      <c r="I37" s="979">
        <f>J37+M37</f>
        <v>33169603</v>
      </c>
      <c r="J37" s="979">
        <f>K37+L37</f>
        <v>28194163</v>
      </c>
      <c r="K37" s="978">
        <v>236651</v>
      </c>
      <c r="L37" s="978">
        <v>27957512</v>
      </c>
      <c r="M37" s="979">
        <f>N37+Q37+T37</f>
        <v>4975440</v>
      </c>
      <c r="N37" s="979">
        <f>O37+P37</f>
        <v>3316960</v>
      </c>
      <c r="O37" s="978">
        <v>27841</v>
      </c>
      <c r="P37" s="978">
        <v>3289119</v>
      </c>
      <c r="Q37" s="979">
        <f>R37+S37</f>
        <v>1658480</v>
      </c>
      <c r="R37" s="978">
        <v>13920</v>
      </c>
      <c r="S37" s="978">
        <v>1644560</v>
      </c>
      <c r="T37" s="979">
        <f>U37+V37</f>
        <v>0</v>
      </c>
      <c r="U37" s="978">
        <v>0</v>
      </c>
      <c r="V37" s="978">
        <v>0</v>
      </c>
    </row>
    <row r="38" spans="1:22" s="661" customFormat="1" ht="14.1" customHeight="1">
      <c r="A38" s="950"/>
      <c r="B38" s="971"/>
      <c r="C38" s="969"/>
      <c r="D38" s="961"/>
      <c r="E38" s="971"/>
      <c r="F38" s="950"/>
      <c r="G38" s="660">
        <v>28194163</v>
      </c>
      <c r="H38" s="660">
        <v>0</v>
      </c>
      <c r="I38" s="979"/>
      <c r="J38" s="979"/>
      <c r="K38" s="978"/>
      <c r="L38" s="978"/>
      <c r="M38" s="979"/>
      <c r="N38" s="979"/>
      <c r="O38" s="978"/>
      <c r="P38" s="978"/>
      <c r="Q38" s="979"/>
      <c r="R38" s="978"/>
      <c r="S38" s="978"/>
      <c r="T38" s="979"/>
      <c r="U38" s="978"/>
      <c r="V38" s="978"/>
    </row>
    <row r="39" spans="1:22" s="661" customFormat="1" ht="14.1" customHeight="1">
      <c r="A39" s="950"/>
      <c r="B39" s="971"/>
      <c r="C39" s="969"/>
      <c r="D39" s="961"/>
      <c r="E39" s="971"/>
      <c r="F39" s="950"/>
      <c r="G39" s="660">
        <v>3316960</v>
      </c>
      <c r="H39" s="660">
        <v>0</v>
      </c>
      <c r="I39" s="979"/>
      <c r="J39" s="979"/>
      <c r="K39" s="978"/>
      <c r="L39" s="978"/>
      <c r="M39" s="979"/>
      <c r="N39" s="979"/>
      <c r="O39" s="978"/>
      <c r="P39" s="978"/>
      <c r="Q39" s="979"/>
      <c r="R39" s="978"/>
      <c r="S39" s="978"/>
      <c r="T39" s="979"/>
      <c r="U39" s="978"/>
      <c r="V39" s="978"/>
    </row>
    <row r="40" spans="1:22" s="661" customFormat="1" ht="14.1" customHeight="1">
      <c r="A40" s="950"/>
      <c r="B40" s="971"/>
      <c r="C40" s="969"/>
      <c r="D40" s="961"/>
      <c r="E40" s="971"/>
      <c r="F40" s="950"/>
      <c r="G40" s="660">
        <v>1658480</v>
      </c>
      <c r="H40" s="660">
        <v>0</v>
      </c>
      <c r="I40" s="979"/>
      <c r="J40" s="979"/>
      <c r="K40" s="978"/>
      <c r="L40" s="978"/>
      <c r="M40" s="979"/>
      <c r="N40" s="979"/>
      <c r="O40" s="978"/>
      <c r="P40" s="978"/>
      <c r="Q40" s="979"/>
      <c r="R40" s="978"/>
      <c r="S40" s="978"/>
      <c r="T40" s="979"/>
      <c r="U40" s="978"/>
      <c r="V40" s="978"/>
    </row>
    <row r="41" spans="1:22" s="661" customFormat="1" ht="14.1" customHeight="1">
      <c r="A41" s="950"/>
      <c r="B41" s="971"/>
      <c r="C41" s="970"/>
      <c r="D41" s="961"/>
      <c r="E41" s="971"/>
      <c r="F41" s="950"/>
      <c r="G41" s="660">
        <v>0</v>
      </c>
      <c r="H41" s="660">
        <v>0</v>
      </c>
      <c r="I41" s="979"/>
      <c r="J41" s="979"/>
      <c r="K41" s="978"/>
      <c r="L41" s="978"/>
      <c r="M41" s="979"/>
      <c r="N41" s="979"/>
      <c r="O41" s="978"/>
      <c r="P41" s="978"/>
      <c r="Q41" s="979"/>
      <c r="R41" s="978"/>
      <c r="S41" s="978"/>
      <c r="T41" s="979"/>
      <c r="U41" s="978"/>
      <c r="V41" s="978"/>
    </row>
    <row r="42" spans="1:22" s="661" customFormat="1" ht="14.1" customHeight="1">
      <c r="A42" s="950">
        <v>6</v>
      </c>
      <c r="B42" s="971" t="s">
        <v>824</v>
      </c>
      <c r="C42" s="968" t="s">
        <v>830</v>
      </c>
      <c r="D42" s="961" t="s">
        <v>826</v>
      </c>
      <c r="E42" s="971" t="s">
        <v>827</v>
      </c>
      <c r="F42" s="950" t="s">
        <v>828</v>
      </c>
      <c r="G42" s="660">
        <f>G43+G44+G45+G46</f>
        <v>6053500</v>
      </c>
      <c r="H42" s="660">
        <f>H43+H44+H45+H46</f>
        <v>0</v>
      </c>
      <c r="I42" s="979">
        <f>J42+M42</f>
        <v>6053500</v>
      </c>
      <c r="J42" s="979">
        <f>K42+L42</f>
        <v>5145475</v>
      </c>
      <c r="K42" s="978">
        <v>38195</v>
      </c>
      <c r="L42" s="978">
        <v>5107280</v>
      </c>
      <c r="M42" s="979">
        <f>N42+Q42+T42</f>
        <v>908025</v>
      </c>
      <c r="N42" s="979">
        <f>O42+P42</f>
        <v>605350</v>
      </c>
      <c r="O42" s="978">
        <v>4494</v>
      </c>
      <c r="P42" s="978">
        <v>600856</v>
      </c>
      <c r="Q42" s="979">
        <f>R42+S42</f>
        <v>302675</v>
      </c>
      <c r="R42" s="978">
        <v>2247</v>
      </c>
      <c r="S42" s="978">
        <v>300428</v>
      </c>
      <c r="T42" s="979">
        <f>U42+V42</f>
        <v>0</v>
      </c>
      <c r="U42" s="978">
        <v>0</v>
      </c>
      <c r="V42" s="978">
        <v>0</v>
      </c>
    </row>
    <row r="43" spans="1:22" s="661" customFormat="1" ht="14.1" customHeight="1">
      <c r="A43" s="950"/>
      <c r="B43" s="971"/>
      <c r="C43" s="969"/>
      <c r="D43" s="961"/>
      <c r="E43" s="971"/>
      <c r="F43" s="950"/>
      <c r="G43" s="660">
        <v>5145475</v>
      </c>
      <c r="H43" s="660">
        <v>0</v>
      </c>
      <c r="I43" s="979"/>
      <c r="J43" s="979"/>
      <c r="K43" s="978"/>
      <c r="L43" s="978"/>
      <c r="M43" s="979"/>
      <c r="N43" s="979"/>
      <c r="O43" s="978"/>
      <c r="P43" s="978"/>
      <c r="Q43" s="979"/>
      <c r="R43" s="978"/>
      <c r="S43" s="978"/>
      <c r="T43" s="979"/>
      <c r="U43" s="978"/>
      <c r="V43" s="978"/>
    </row>
    <row r="44" spans="1:22" s="661" customFormat="1" ht="14.1" customHeight="1">
      <c r="A44" s="950"/>
      <c r="B44" s="971"/>
      <c r="C44" s="969"/>
      <c r="D44" s="961"/>
      <c r="E44" s="971"/>
      <c r="F44" s="950"/>
      <c r="G44" s="660">
        <v>605350</v>
      </c>
      <c r="H44" s="660">
        <v>0</v>
      </c>
      <c r="I44" s="979"/>
      <c r="J44" s="979"/>
      <c r="K44" s="978"/>
      <c r="L44" s="978"/>
      <c r="M44" s="979"/>
      <c r="N44" s="979"/>
      <c r="O44" s="978"/>
      <c r="P44" s="978"/>
      <c r="Q44" s="979"/>
      <c r="R44" s="978"/>
      <c r="S44" s="978"/>
      <c r="T44" s="979"/>
      <c r="U44" s="978"/>
      <c r="V44" s="978"/>
    </row>
    <row r="45" spans="1:22" s="661" customFormat="1" ht="14.1" customHeight="1">
      <c r="A45" s="950"/>
      <c r="B45" s="971"/>
      <c r="C45" s="969"/>
      <c r="D45" s="961"/>
      <c r="E45" s="971"/>
      <c r="F45" s="950"/>
      <c r="G45" s="660">
        <v>302675</v>
      </c>
      <c r="H45" s="660">
        <v>0</v>
      </c>
      <c r="I45" s="979"/>
      <c r="J45" s="979"/>
      <c r="K45" s="978"/>
      <c r="L45" s="978"/>
      <c r="M45" s="979"/>
      <c r="N45" s="979"/>
      <c r="O45" s="978"/>
      <c r="P45" s="978"/>
      <c r="Q45" s="979"/>
      <c r="R45" s="978"/>
      <c r="S45" s="978"/>
      <c r="T45" s="979"/>
      <c r="U45" s="978"/>
      <c r="V45" s="978"/>
    </row>
    <row r="46" spans="1:22" s="661" customFormat="1" ht="14.1" customHeight="1">
      <c r="A46" s="950"/>
      <c r="B46" s="971"/>
      <c r="C46" s="970"/>
      <c r="D46" s="961"/>
      <c r="E46" s="971"/>
      <c r="F46" s="950"/>
      <c r="G46" s="660">
        <v>0</v>
      </c>
      <c r="H46" s="660">
        <v>0</v>
      </c>
      <c r="I46" s="979"/>
      <c r="J46" s="979"/>
      <c r="K46" s="978"/>
      <c r="L46" s="978"/>
      <c r="M46" s="979"/>
      <c r="N46" s="979"/>
      <c r="O46" s="978"/>
      <c r="P46" s="978"/>
      <c r="Q46" s="979"/>
      <c r="R46" s="978"/>
      <c r="S46" s="978"/>
      <c r="T46" s="979"/>
      <c r="U46" s="978"/>
      <c r="V46" s="978"/>
    </row>
    <row r="47" spans="1:22" s="661" customFormat="1" ht="14.1" customHeight="1">
      <c r="A47" s="950">
        <v>7</v>
      </c>
      <c r="B47" s="971" t="s">
        <v>824</v>
      </c>
      <c r="C47" s="968" t="s">
        <v>831</v>
      </c>
      <c r="D47" s="961" t="s">
        <v>826</v>
      </c>
      <c r="E47" s="971" t="s">
        <v>827</v>
      </c>
      <c r="F47" s="950" t="s">
        <v>828</v>
      </c>
      <c r="G47" s="660">
        <f>G48+G49+G50+G51</f>
        <v>10369739</v>
      </c>
      <c r="H47" s="660">
        <f>H48+H49+H50+H51</f>
        <v>0</v>
      </c>
      <c r="I47" s="979">
        <f>J47+M47</f>
        <v>10369739</v>
      </c>
      <c r="J47" s="979">
        <f>K47+L47</f>
        <v>8814279</v>
      </c>
      <c r="K47" s="978">
        <v>74520</v>
      </c>
      <c r="L47" s="978">
        <v>8739759</v>
      </c>
      <c r="M47" s="979">
        <f>N47+Q47+T47</f>
        <v>1555460</v>
      </c>
      <c r="N47" s="979">
        <f>O47+P47</f>
        <v>1036974</v>
      </c>
      <c r="O47" s="978">
        <v>8767</v>
      </c>
      <c r="P47" s="978">
        <v>1028207</v>
      </c>
      <c r="Q47" s="979">
        <f>R47+S47</f>
        <v>518486</v>
      </c>
      <c r="R47" s="978">
        <v>4384</v>
      </c>
      <c r="S47" s="978">
        <v>514102</v>
      </c>
      <c r="T47" s="979">
        <f>U47+V47</f>
        <v>0</v>
      </c>
      <c r="U47" s="978">
        <v>0</v>
      </c>
      <c r="V47" s="978">
        <v>0</v>
      </c>
    </row>
    <row r="48" spans="1:22" s="661" customFormat="1" ht="14.1" customHeight="1">
      <c r="A48" s="950"/>
      <c r="B48" s="971"/>
      <c r="C48" s="969"/>
      <c r="D48" s="961"/>
      <c r="E48" s="971"/>
      <c r="F48" s="950"/>
      <c r="G48" s="660">
        <v>8814279</v>
      </c>
      <c r="H48" s="660">
        <v>0</v>
      </c>
      <c r="I48" s="979"/>
      <c r="J48" s="979"/>
      <c r="K48" s="978"/>
      <c r="L48" s="978"/>
      <c r="M48" s="979"/>
      <c r="N48" s="979"/>
      <c r="O48" s="978"/>
      <c r="P48" s="978"/>
      <c r="Q48" s="979"/>
      <c r="R48" s="978"/>
      <c r="S48" s="978"/>
      <c r="T48" s="979"/>
      <c r="U48" s="978"/>
      <c r="V48" s="978"/>
    </row>
    <row r="49" spans="1:22" s="661" customFormat="1" ht="14.1" customHeight="1">
      <c r="A49" s="950"/>
      <c r="B49" s="971"/>
      <c r="C49" s="969"/>
      <c r="D49" s="961"/>
      <c r="E49" s="971"/>
      <c r="F49" s="950"/>
      <c r="G49" s="660">
        <v>1036974</v>
      </c>
      <c r="H49" s="660">
        <v>0</v>
      </c>
      <c r="I49" s="979"/>
      <c r="J49" s="979"/>
      <c r="K49" s="978"/>
      <c r="L49" s="978"/>
      <c r="M49" s="979"/>
      <c r="N49" s="979"/>
      <c r="O49" s="978"/>
      <c r="P49" s="978"/>
      <c r="Q49" s="979"/>
      <c r="R49" s="978"/>
      <c r="S49" s="978"/>
      <c r="T49" s="979"/>
      <c r="U49" s="978"/>
      <c r="V49" s="978"/>
    </row>
    <row r="50" spans="1:22" s="661" customFormat="1" ht="14.1" customHeight="1">
      <c r="A50" s="950"/>
      <c r="B50" s="971"/>
      <c r="C50" s="969"/>
      <c r="D50" s="961"/>
      <c r="E50" s="971"/>
      <c r="F50" s="950"/>
      <c r="G50" s="660">
        <v>518486</v>
      </c>
      <c r="H50" s="660">
        <v>0</v>
      </c>
      <c r="I50" s="979"/>
      <c r="J50" s="979"/>
      <c r="K50" s="978"/>
      <c r="L50" s="978"/>
      <c r="M50" s="979"/>
      <c r="N50" s="979"/>
      <c r="O50" s="978"/>
      <c r="P50" s="978"/>
      <c r="Q50" s="979"/>
      <c r="R50" s="978"/>
      <c r="S50" s="978"/>
      <c r="T50" s="979"/>
      <c r="U50" s="978"/>
      <c r="V50" s="978"/>
    </row>
    <row r="51" spans="1:22" s="661" customFormat="1" ht="14.1" customHeight="1">
      <c r="A51" s="950"/>
      <c r="B51" s="971"/>
      <c r="C51" s="970"/>
      <c r="D51" s="961"/>
      <c r="E51" s="971"/>
      <c r="F51" s="950"/>
      <c r="G51" s="660">
        <v>0</v>
      </c>
      <c r="H51" s="660">
        <v>0</v>
      </c>
      <c r="I51" s="979"/>
      <c r="J51" s="979"/>
      <c r="K51" s="978"/>
      <c r="L51" s="978"/>
      <c r="M51" s="979"/>
      <c r="N51" s="979"/>
      <c r="O51" s="978"/>
      <c r="P51" s="978"/>
      <c r="Q51" s="979"/>
      <c r="R51" s="978"/>
      <c r="S51" s="978"/>
      <c r="T51" s="979"/>
      <c r="U51" s="978"/>
      <c r="V51" s="978"/>
    </row>
    <row r="52" spans="1:22" s="661" customFormat="1" ht="14.1" customHeight="1">
      <c r="A52" s="950">
        <v>8</v>
      </c>
      <c r="B52" s="971" t="s">
        <v>824</v>
      </c>
      <c r="C52" s="968" t="s">
        <v>832</v>
      </c>
      <c r="D52" s="961" t="s">
        <v>826</v>
      </c>
      <c r="E52" s="971" t="s">
        <v>827</v>
      </c>
      <c r="F52" s="950" t="s">
        <v>833</v>
      </c>
      <c r="G52" s="660">
        <f>G54+G53+G55+G56</f>
        <v>86689140</v>
      </c>
      <c r="H52" s="660">
        <f>H53+H54+H55+H56</f>
        <v>0</v>
      </c>
      <c r="I52" s="979">
        <f>J52+M52</f>
        <v>35000000</v>
      </c>
      <c r="J52" s="979">
        <f>K52+L52</f>
        <v>29750000</v>
      </c>
      <c r="K52" s="978">
        <v>553584</v>
      </c>
      <c r="L52" s="978">
        <v>29196416</v>
      </c>
      <c r="M52" s="979">
        <f>N52+Q52+T52</f>
        <v>5250000</v>
      </c>
      <c r="N52" s="979">
        <f>O52+P52</f>
        <v>3500000</v>
      </c>
      <c r="O52" s="978">
        <v>65127</v>
      </c>
      <c r="P52" s="978">
        <v>3434873</v>
      </c>
      <c r="Q52" s="979">
        <f>R52+S52</f>
        <v>1750000</v>
      </c>
      <c r="R52" s="978">
        <v>32564</v>
      </c>
      <c r="S52" s="978">
        <v>1717436</v>
      </c>
      <c r="T52" s="979">
        <f>U52+V52</f>
        <v>0</v>
      </c>
      <c r="U52" s="978">
        <v>0</v>
      </c>
      <c r="V52" s="978">
        <v>0</v>
      </c>
    </row>
    <row r="53" spans="1:22" s="661" customFormat="1" ht="14.1" customHeight="1">
      <c r="A53" s="950"/>
      <c r="B53" s="971"/>
      <c r="C53" s="969"/>
      <c r="D53" s="961"/>
      <c r="E53" s="971"/>
      <c r="F53" s="950"/>
      <c r="G53" s="660">
        <v>73396004</v>
      </c>
      <c r="H53" s="660">
        <v>0</v>
      </c>
      <c r="I53" s="979"/>
      <c r="J53" s="979"/>
      <c r="K53" s="978"/>
      <c r="L53" s="978"/>
      <c r="M53" s="979"/>
      <c r="N53" s="979"/>
      <c r="O53" s="978"/>
      <c r="P53" s="978"/>
      <c r="Q53" s="979"/>
      <c r="R53" s="978"/>
      <c r="S53" s="978"/>
      <c r="T53" s="979"/>
      <c r="U53" s="978"/>
      <c r="V53" s="978"/>
    </row>
    <row r="54" spans="1:22" s="661" customFormat="1" ht="14.1" customHeight="1">
      <c r="A54" s="950"/>
      <c r="B54" s="971"/>
      <c r="C54" s="969"/>
      <c r="D54" s="961"/>
      <c r="E54" s="971"/>
      <c r="F54" s="950"/>
      <c r="G54" s="660">
        <v>8634824</v>
      </c>
      <c r="H54" s="660">
        <v>0</v>
      </c>
      <c r="I54" s="979"/>
      <c r="J54" s="979"/>
      <c r="K54" s="978"/>
      <c r="L54" s="978"/>
      <c r="M54" s="979"/>
      <c r="N54" s="979"/>
      <c r="O54" s="978"/>
      <c r="P54" s="978"/>
      <c r="Q54" s="979"/>
      <c r="R54" s="978"/>
      <c r="S54" s="978"/>
      <c r="T54" s="979"/>
      <c r="U54" s="978"/>
      <c r="V54" s="978"/>
    </row>
    <row r="55" spans="1:22" s="661" customFormat="1" ht="14.1" customHeight="1">
      <c r="A55" s="950"/>
      <c r="B55" s="971"/>
      <c r="C55" s="969"/>
      <c r="D55" s="961"/>
      <c r="E55" s="971"/>
      <c r="F55" s="950"/>
      <c r="G55" s="660">
        <v>4658312</v>
      </c>
      <c r="H55" s="660">
        <v>0</v>
      </c>
      <c r="I55" s="979"/>
      <c r="J55" s="979"/>
      <c r="K55" s="978"/>
      <c r="L55" s="978"/>
      <c r="M55" s="979"/>
      <c r="N55" s="979"/>
      <c r="O55" s="978"/>
      <c r="P55" s="978"/>
      <c r="Q55" s="979"/>
      <c r="R55" s="978"/>
      <c r="S55" s="978"/>
      <c r="T55" s="979"/>
      <c r="U55" s="978"/>
      <c r="V55" s="978"/>
    </row>
    <row r="56" spans="1:22" s="661" customFormat="1" ht="14.1" customHeight="1">
      <c r="A56" s="950"/>
      <c r="B56" s="971"/>
      <c r="C56" s="970"/>
      <c r="D56" s="961"/>
      <c r="E56" s="971"/>
      <c r="F56" s="950"/>
      <c r="G56" s="660">
        <v>0</v>
      </c>
      <c r="H56" s="660">
        <v>0</v>
      </c>
      <c r="I56" s="979"/>
      <c r="J56" s="979"/>
      <c r="K56" s="978"/>
      <c r="L56" s="978"/>
      <c r="M56" s="979"/>
      <c r="N56" s="979"/>
      <c r="O56" s="978"/>
      <c r="P56" s="978"/>
      <c r="Q56" s="979"/>
      <c r="R56" s="978"/>
      <c r="S56" s="978"/>
      <c r="T56" s="979"/>
      <c r="U56" s="978"/>
      <c r="V56" s="978"/>
    </row>
    <row r="57" spans="1:22" s="661" customFormat="1" ht="14.1" customHeight="1">
      <c r="A57" s="950">
        <v>9</v>
      </c>
      <c r="B57" s="971" t="s">
        <v>834</v>
      </c>
      <c r="C57" s="968" t="s">
        <v>835</v>
      </c>
      <c r="D57" s="961" t="s">
        <v>452</v>
      </c>
      <c r="E57" s="971" t="s">
        <v>836</v>
      </c>
      <c r="F57" s="950" t="s">
        <v>837</v>
      </c>
      <c r="G57" s="660">
        <f>G59+G58+G60+G61</f>
        <v>20936862</v>
      </c>
      <c r="H57" s="660">
        <f>H58+H59+H60+H61</f>
        <v>659827</v>
      </c>
      <c r="I57" s="979">
        <f>J57+M57</f>
        <v>20277035</v>
      </c>
      <c r="J57" s="979">
        <f>K57+L57</f>
        <v>18142610</v>
      </c>
      <c r="K57" s="978">
        <v>545621</v>
      </c>
      <c r="L57" s="978">
        <v>17596989</v>
      </c>
      <c r="M57" s="979">
        <f>N57+Q57+T57</f>
        <v>2134425</v>
      </c>
      <c r="N57" s="979">
        <f>O57+P57</f>
        <v>2134425</v>
      </c>
      <c r="O57" s="978">
        <v>64191</v>
      </c>
      <c r="P57" s="978">
        <v>2070234</v>
      </c>
      <c r="Q57" s="979">
        <f>R57+S57</f>
        <v>0</v>
      </c>
      <c r="R57" s="978">
        <v>0</v>
      </c>
      <c r="S57" s="978">
        <v>0</v>
      </c>
      <c r="T57" s="979">
        <f>U57+V57</f>
        <v>0</v>
      </c>
      <c r="U57" s="978">
        <v>0</v>
      </c>
      <c r="V57" s="978">
        <v>0</v>
      </c>
    </row>
    <row r="58" spans="1:22" s="661" customFormat="1" ht="14.1" customHeight="1">
      <c r="A58" s="950"/>
      <c r="B58" s="971"/>
      <c r="C58" s="969"/>
      <c r="D58" s="961"/>
      <c r="E58" s="971"/>
      <c r="F58" s="950"/>
      <c r="G58" s="660">
        <v>18732982</v>
      </c>
      <c r="H58" s="660">
        <v>590372</v>
      </c>
      <c r="I58" s="979"/>
      <c r="J58" s="979"/>
      <c r="K58" s="978"/>
      <c r="L58" s="978"/>
      <c r="M58" s="979"/>
      <c r="N58" s="979"/>
      <c r="O58" s="978"/>
      <c r="P58" s="978"/>
      <c r="Q58" s="979"/>
      <c r="R58" s="978"/>
      <c r="S58" s="978"/>
      <c r="T58" s="979"/>
      <c r="U58" s="978"/>
      <c r="V58" s="978"/>
    </row>
    <row r="59" spans="1:22" s="661" customFormat="1" ht="14.1" customHeight="1">
      <c r="A59" s="950"/>
      <c r="B59" s="971"/>
      <c r="C59" s="969"/>
      <c r="D59" s="961"/>
      <c r="E59" s="971"/>
      <c r="F59" s="950"/>
      <c r="G59" s="660">
        <v>2203880</v>
      </c>
      <c r="H59" s="660">
        <v>69455</v>
      </c>
      <c r="I59" s="979"/>
      <c r="J59" s="979"/>
      <c r="K59" s="978"/>
      <c r="L59" s="978"/>
      <c r="M59" s="979"/>
      <c r="N59" s="979"/>
      <c r="O59" s="978"/>
      <c r="P59" s="978"/>
      <c r="Q59" s="979"/>
      <c r="R59" s="978"/>
      <c r="S59" s="978"/>
      <c r="T59" s="979"/>
      <c r="U59" s="978"/>
      <c r="V59" s="978"/>
    </row>
    <row r="60" spans="1:22" s="661" customFormat="1" ht="14.1" customHeight="1">
      <c r="A60" s="950"/>
      <c r="B60" s="971"/>
      <c r="C60" s="969"/>
      <c r="D60" s="961"/>
      <c r="E60" s="971"/>
      <c r="F60" s="950"/>
      <c r="G60" s="660">
        <v>0</v>
      </c>
      <c r="H60" s="660">
        <v>0</v>
      </c>
      <c r="I60" s="979"/>
      <c r="J60" s="979"/>
      <c r="K60" s="978"/>
      <c r="L60" s="978"/>
      <c r="M60" s="979"/>
      <c r="N60" s="979"/>
      <c r="O60" s="978"/>
      <c r="P60" s="978"/>
      <c r="Q60" s="979"/>
      <c r="R60" s="978"/>
      <c r="S60" s="978"/>
      <c r="T60" s="979"/>
      <c r="U60" s="978"/>
      <c r="V60" s="978"/>
    </row>
    <row r="61" spans="1:22" s="661" customFormat="1" ht="14.1" customHeight="1">
      <c r="A61" s="950"/>
      <c r="B61" s="971"/>
      <c r="C61" s="970"/>
      <c r="D61" s="961"/>
      <c r="E61" s="971"/>
      <c r="F61" s="950"/>
      <c r="G61" s="660">
        <v>0</v>
      </c>
      <c r="H61" s="660">
        <v>0</v>
      </c>
      <c r="I61" s="979"/>
      <c r="J61" s="979"/>
      <c r="K61" s="978"/>
      <c r="L61" s="978"/>
      <c r="M61" s="979"/>
      <c r="N61" s="979"/>
      <c r="O61" s="978"/>
      <c r="P61" s="978"/>
      <c r="Q61" s="979"/>
      <c r="R61" s="978"/>
      <c r="S61" s="978"/>
      <c r="T61" s="979"/>
      <c r="U61" s="978"/>
      <c r="V61" s="978"/>
    </row>
    <row r="62" spans="1:22" s="661" customFormat="1" ht="14.1" customHeight="1">
      <c r="A62" s="950">
        <v>10</v>
      </c>
      <c r="B62" s="971" t="s">
        <v>838</v>
      </c>
      <c r="C62" s="968" t="s">
        <v>839</v>
      </c>
      <c r="D62" s="961" t="s">
        <v>424</v>
      </c>
      <c r="E62" s="971" t="s">
        <v>840</v>
      </c>
      <c r="F62" s="950" t="s">
        <v>828</v>
      </c>
      <c r="G62" s="660">
        <f>G64+G63+G65+G66</f>
        <v>337500</v>
      </c>
      <c r="H62" s="660">
        <f>H63+H64+H65+H66</f>
        <v>50400</v>
      </c>
      <c r="I62" s="979">
        <f>J62+M62</f>
        <v>287100</v>
      </c>
      <c r="J62" s="979">
        <f>K62+L62</f>
        <v>244035</v>
      </c>
      <c r="K62" s="978">
        <v>244035</v>
      </c>
      <c r="L62" s="978">
        <v>0</v>
      </c>
      <c r="M62" s="979">
        <f>N62+Q62+T62</f>
        <v>43065</v>
      </c>
      <c r="N62" s="979">
        <f>O62+P62</f>
        <v>14355</v>
      </c>
      <c r="O62" s="978">
        <v>14355</v>
      </c>
      <c r="P62" s="978">
        <v>0</v>
      </c>
      <c r="Q62" s="979">
        <f>R62+S62</f>
        <v>28710</v>
      </c>
      <c r="R62" s="978">
        <v>28710</v>
      </c>
      <c r="S62" s="978">
        <v>0</v>
      </c>
      <c r="T62" s="979">
        <f>U62+V62</f>
        <v>0</v>
      </c>
      <c r="U62" s="978">
        <v>0</v>
      </c>
      <c r="V62" s="978">
        <v>0</v>
      </c>
    </row>
    <row r="63" spans="1:22" s="661" customFormat="1" ht="14.1" customHeight="1">
      <c r="A63" s="950"/>
      <c r="B63" s="971"/>
      <c r="C63" s="969"/>
      <c r="D63" s="961"/>
      <c r="E63" s="971"/>
      <c r="F63" s="950"/>
      <c r="G63" s="660">
        <v>286875</v>
      </c>
      <c r="H63" s="660">
        <v>42840</v>
      </c>
      <c r="I63" s="979"/>
      <c r="J63" s="979"/>
      <c r="K63" s="978"/>
      <c r="L63" s="978"/>
      <c r="M63" s="979"/>
      <c r="N63" s="979"/>
      <c r="O63" s="978"/>
      <c r="P63" s="978"/>
      <c r="Q63" s="979"/>
      <c r="R63" s="978"/>
      <c r="S63" s="978"/>
      <c r="T63" s="979"/>
      <c r="U63" s="978"/>
      <c r="V63" s="978"/>
    </row>
    <row r="64" spans="1:22" s="661" customFormat="1" ht="14.1" customHeight="1">
      <c r="A64" s="950"/>
      <c r="B64" s="971"/>
      <c r="C64" s="969"/>
      <c r="D64" s="961"/>
      <c r="E64" s="971"/>
      <c r="F64" s="950"/>
      <c r="G64" s="660">
        <v>16875</v>
      </c>
      <c r="H64" s="660">
        <v>2520</v>
      </c>
      <c r="I64" s="979"/>
      <c r="J64" s="979"/>
      <c r="K64" s="978"/>
      <c r="L64" s="978"/>
      <c r="M64" s="979"/>
      <c r="N64" s="979"/>
      <c r="O64" s="978"/>
      <c r="P64" s="978"/>
      <c r="Q64" s="979"/>
      <c r="R64" s="978"/>
      <c r="S64" s="978"/>
      <c r="T64" s="979"/>
      <c r="U64" s="978"/>
      <c r="V64" s="978"/>
    </row>
    <row r="65" spans="1:22" s="661" customFormat="1" ht="14.1" customHeight="1">
      <c r="A65" s="950"/>
      <c r="B65" s="971"/>
      <c r="C65" s="969"/>
      <c r="D65" s="961"/>
      <c r="E65" s="971"/>
      <c r="F65" s="950"/>
      <c r="G65" s="660">
        <v>33750</v>
      </c>
      <c r="H65" s="660">
        <v>5040</v>
      </c>
      <c r="I65" s="979"/>
      <c r="J65" s="979"/>
      <c r="K65" s="978"/>
      <c r="L65" s="978"/>
      <c r="M65" s="979"/>
      <c r="N65" s="979"/>
      <c r="O65" s="978"/>
      <c r="P65" s="978"/>
      <c r="Q65" s="979"/>
      <c r="R65" s="978"/>
      <c r="S65" s="978"/>
      <c r="T65" s="979"/>
      <c r="U65" s="978"/>
      <c r="V65" s="978"/>
    </row>
    <row r="66" spans="1:22" s="661" customFormat="1" ht="14.1" customHeight="1">
      <c r="A66" s="950"/>
      <c r="B66" s="971"/>
      <c r="C66" s="970"/>
      <c r="D66" s="961"/>
      <c r="E66" s="971"/>
      <c r="F66" s="950"/>
      <c r="G66" s="660">
        <v>0</v>
      </c>
      <c r="H66" s="660">
        <v>0</v>
      </c>
      <c r="I66" s="979"/>
      <c r="J66" s="979"/>
      <c r="K66" s="978"/>
      <c r="L66" s="978"/>
      <c r="M66" s="979"/>
      <c r="N66" s="979"/>
      <c r="O66" s="978"/>
      <c r="P66" s="978"/>
      <c r="Q66" s="979"/>
      <c r="R66" s="978"/>
      <c r="S66" s="978"/>
      <c r="T66" s="979"/>
      <c r="U66" s="978"/>
      <c r="V66" s="978"/>
    </row>
    <row r="67" spans="1:22" s="661" customFormat="1" ht="14.1" customHeight="1">
      <c r="A67" s="950">
        <v>11</v>
      </c>
      <c r="B67" s="971" t="s">
        <v>838</v>
      </c>
      <c r="C67" s="968" t="s">
        <v>841</v>
      </c>
      <c r="D67" s="961" t="s">
        <v>424</v>
      </c>
      <c r="E67" s="971" t="s">
        <v>842</v>
      </c>
      <c r="F67" s="950" t="s">
        <v>843</v>
      </c>
      <c r="G67" s="660">
        <f>G69+G68+G70+G71</f>
        <v>3595591</v>
      </c>
      <c r="H67" s="660">
        <f>H68+H69+H70+H71</f>
        <v>0</v>
      </c>
      <c r="I67" s="979">
        <f>J67+M67</f>
        <v>1799796</v>
      </c>
      <c r="J67" s="979">
        <f>K67+L67</f>
        <v>1529826</v>
      </c>
      <c r="K67" s="978">
        <v>1529826</v>
      </c>
      <c r="L67" s="978">
        <v>0</v>
      </c>
      <c r="M67" s="979">
        <f>N67+Q67+T67</f>
        <v>269970</v>
      </c>
      <c r="N67" s="979">
        <f>O67+P67</f>
        <v>89990</v>
      </c>
      <c r="O67" s="978">
        <v>89990</v>
      </c>
      <c r="P67" s="978">
        <v>0</v>
      </c>
      <c r="Q67" s="979">
        <f>R67+S67</f>
        <v>179980</v>
      </c>
      <c r="R67" s="978">
        <v>179980</v>
      </c>
      <c r="S67" s="978">
        <v>0</v>
      </c>
      <c r="T67" s="979">
        <f>U67+V67</f>
        <v>0</v>
      </c>
      <c r="U67" s="978">
        <v>0</v>
      </c>
      <c r="V67" s="978">
        <v>0</v>
      </c>
    </row>
    <row r="68" spans="1:22" s="661" customFormat="1" ht="14.1" customHeight="1">
      <c r="A68" s="950"/>
      <c r="B68" s="971"/>
      <c r="C68" s="969"/>
      <c r="D68" s="961"/>
      <c r="E68" s="971"/>
      <c r="F68" s="950"/>
      <c r="G68" s="660">
        <v>3056252</v>
      </c>
      <c r="H68" s="660">
        <v>0</v>
      </c>
      <c r="I68" s="979"/>
      <c r="J68" s="979"/>
      <c r="K68" s="978"/>
      <c r="L68" s="978"/>
      <c r="M68" s="979"/>
      <c r="N68" s="979"/>
      <c r="O68" s="978"/>
      <c r="P68" s="978"/>
      <c r="Q68" s="979"/>
      <c r="R68" s="978"/>
      <c r="S68" s="978"/>
      <c r="T68" s="979"/>
      <c r="U68" s="978"/>
      <c r="V68" s="978"/>
    </row>
    <row r="69" spans="1:22" s="661" customFormat="1" ht="14.1" customHeight="1">
      <c r="A69" s="950"/>
      <c r="B69" s="971"/>
      <c r="C69" s="969"/>
      <c r="D69" s="961"/>
      <c r="E69" s="971"/>
      <c r="F69" s="950"/>
      <c r="G69" s="660">
        <v>179780</v>
      </c>
      <c r="H69" s="660">
        <v>0</v>
      </c>
      <c r="I69" s="979"/>
      <c r="J69" s="979"/>
      <c r="K69" s="978"/>
      <c r="L69" s="978"/>
      <c r="M69" s="979"/>
      <c r="N69" s="979"/>
      <c r="O69" s="978"/>
      <c r="P69" s="978"/>
      <c r="Q69" s="979"/>
      <c r="R69" s="978"/>
      <c r="S69" s="978"/>
      <c r="T69" s="979"/>
      <c r="U69" s="978"/>
      <c r="V69" s="978"/>
    </row>
    <row r="70" spans="1:22" s="661" customFormat="1" ht="14.1" customHeight="1">
      <c r="A70" s="950"/>
      <c r="B70" s="971"/>
      <c r="C70" s="969"/>
      <c r="D70" s="961"/>
      <c r="E70" s="971"/>
      <c r="F70" s="950"/>
      <c r="G70" s="660">
        <v>359559</v>
      </c>
      <c r="H70" s="660">
        <v>0</v>
      </c>
      <c r="I70" s="979"/>
      <c r="J70" s="979"/>
      <c r="K70" s="978"/>
      <c r="L70" s="978"/>
      <c r="M70" s="979"/>
      <c r="N70" s="979"/>
      <c r="O70" s="978"/>
      <c r="P70" s="978"/>
      <c r="Q70" s="979"/>
      <c r="R70" s="978"/>
      <c r="S70" s="978"/>
      <c r="T70" s="979"/>
      <c r="U70" s="978"/>
      <c r="V70" s="978"/>
    </row>
    <row r="71" spans="1:22" s="661" customFormat="1" ht="14.1" customHeight="1">
      <c r="A71" s="950"/>
      <c r="B71" s="971"/>
      <c r="C71" s="970"/>
      <c r="D71" s="961"/>
      <c r="E71" s="971"/>
      <c r="F71" s="950"/>
      <c r="G71" s="660">
        <v>0</v>
      </c>
      <c r="H71" s="660">
        <v>0</v>
      </c>
      <c r="I71" s="979"/>
      <c r="J71" s="979"/>
      <c r="K71" s="978"/>
      <c r="L71" s="978"/>
      <c r="M71" s="979"/>
      <c r="N71" s="979"/>
      <c r="O71" s="978"/>
      <c r="P71" s="978"/>
      <c r="Q71" s="979"/>
      <c r="R71" s="978"/>
      <c r="S71" s="978"/>
      <c r="T71" s="979"/>
      <c r="U71" s="978"/>
      <c r="V71" s="978"/>
    </row>
    <row r="72" spans="1:22" s="661" customFormat="1" ht="14.1" customHeight="1">
      <c r="A72" s="950">
        <v>12</v>
      </c>
      <c r="B72" s="971" t="s">
        <v>844</v>
      </c>
      <c r="C72" s="968" t="s">
        <v>845</v>
      </c>
      <c r="D72" s="961" t="s">
        <v>424</v>
      </c>
      <c r="E72" s="971" t="s">
        <v>846</v>
      </c>
      <c r="F72" s="950" t="s">
        <v>847</v>
      </c>
      <c r="G72" s="660">
        <f>G74+G73+G75+G76</f>
        <v>5209500</v>
      </c>
      <c r="H72" s="660">
        <f>H73+H74+H75+H76</f>
        <v>59400</v>
      </c>
      <c r="I72" s="979">
        <f>J72+M72</f>
        <v>1728800</v>
      </c>
      <c r="J72" s="979">
        <f>K72+L72</f>
        <v>1469480</v>
      </c>
      <c r="K72" s="978">
        <v>1469480</v>
      </c>
      <c r="L72" s="978">
        <v>0</v>
      </c>
      <c r="M72" s="979">
        <f>N72+Q72+T72</f>
        <v>259320</v>
      </c>
      <c r="N72" s="979">
        <f>O72+P72</f>
        <v>86440</v>
      </c>
      <c r="O72" s="978">
        <v>86440</v>
      </c>
      <c r="P72" s="978">
        <v>0</v>
      </c>
      <c r="Q72" s="979">
        <f>R72+S72</f>
        <v>172880</v>
      </c>
      <c r="R72" s="978">
        <v>172880</v>
      </c>
      <c r="S72" s="978">
        <v>0</v>
      </c>
      <c r="T72" s="979">
        <f>U72+V72</f>
        <v>0</v>
      </c>
      <c r="U72" s="978">
        <v>0</v>
      </c>
      <c r="V72" s="978">
        <v>0</v>
      </c>
    </row>
    <row r="73" spans="1:22" s="661" customFormat="1" ht="14.1" customHeight="1">
      <c r="A73" s="950"/>
      <c r="B73" s="971"/>
      <c r="C73" s="969"/>
      <c r="D73" s="961"/>
      <c r="E73" s="971"/>
      <c r="F73" s="950"/>
      <c r="G73" s="660">
        <v>4428075</v>
      </c>
      <c r="H73" s="660">
        <v>50490</v>
      </c>
      <c r="I73" s="979"/>
      <c r="J73" s="979"/>
      <c r="K73" s="978"/>
      <c r="L73" s="978"/>
      <c r="M73" s="979"/>
      <c r="N73" s="979"/>
      <c r="O73" s="978"/>
      <c r="P73" s="978"/>
      <c r="Q73" s="979"/>
      <c r="R73" s="978"/>
      <c r="S73" s="978"/>
      <c r="T73" s="979"/>
      <c r="U73" s="978"/>
      <c r="V73" s="978"/>
    </row>
    <row r="74" spans="1:22" s="661" customFormat="1" ht="14.1" customHeight="1">
      <c r="A74" s="950"/>
      <c r="B74" s="971"/>
      <c r="C74" s="969"/>
      <c r="D74" s="961"/>
      <c r="E74" s="971"/>
      <c r="F74" s="950"/>
      <c r="G74" s="660">
        <v>260475</v>
      </c>
      <c r="H74" s="660">
        <v>2970</v>
      </c>
      <c r="I74" s="979"/>
      <c r="J74" s="979"/>
      <c r="K74" s="978"/>
      <c r="L74" s="978"/>
      <c r="M74" s="979"/>
      <c r="N74" s="979"/>
      <c r="O74" s="978"/>
      <c r="P74" s="978"/>
      <c r="Q74" s="979"/>
      <c r="R74" s="978"/>
      <c r="S74" s="978"/>
      <c r="T74" s="979"/>
      <c r="U74" s="978"/>
      <c r="V74" s="978"/>
    </row>
    <row r="75" spans="1:22" s="661" customFormat="1" ht="14.1" customHeight="1">
      <c r="A75" s="950"/>
      <c r="B75" s="971"/>
      <c r="C75" s="969"/>
      <c r="D75" s="961"/>
      <c r="E75" s="971"/>
      <c r="F75" s="950"/>
      <c r="G75" s="660">
        <v>520950</v>
      </c>
      <c r="H75" s="660">
        <v>5940</v>
      </c>
      <c r="I75" s="979"/>
      <c r="J75" s="979"/>
      <c r="K75" s="978"/>
      <c r="L75" s="978"/>
      <c r="M75" s="979"/>
      <c r="N75" s="979"/>
      <c r="O75" s="978"/>
      <c r="P75" s="978"/>
      <c r="Q75" s="979"/>
      <c r="R75" s="978"/>
      <c r="S75" s="978"/>
      <c r="T75" s="979"/>
      <c r="U75" s="978"/>
      <c r="V75" s="978"/>
    </row>
    <row r="76" spans="1:22" s="661" customFormat="1" ht="14.1" customHeight="1">
      <c r="A76" s="950"/>
      <c r="B76" s="971"/>
      <c r="C76" s="970"/>
      <c r="D76" s="961"/>
      <c r="E76" s="971"/>
      <c r="F76" s="950"/>
      <c r="G76" s="660">
        <v>0</v>
      </c>
      <c r="H76" s="660">
        <v>0</v>
      </c>
      <c r="I76" s="979"/>
      <c r="J76" s="979"/>
      <c r="K76" s="978"/>
      <c r="L76" s="978"/>
      <c r="M76" s="979"/>
      <c r="N76" s="979"/>
      <c r="O76" s="978"/>
      <c r="P76" s="978"/>
      <c r="Q76" s="979"/>
      <c r="R76" s="978"/>
      <c r="S76" s="978"/>
      <c r="T76" s="979"/>
      <c r="U76" s="978"/>
      <c r="V76" s="978"/>
    </row>
    <row r="77" spans="1:22" s="661" customFormat="1" ht="14.1" customHeight="1">
      <c r="A77" s="950">
        <v>13</v>
      </c>
      <c r="B77" s="971" t="s">
        <v>844</v>
      </c>
      <c r="C77" s="968" t="s">
        <v>848</v>
      </c>
      <c r="D77" s="961" t="s">
        <v>424</v>
      </c>
      <c r="E77" s="971" t="s">
        <v>846</v>
      </c>
      <c r="F77" s="950" t="s">
        <v>847</v>
      </c>
      <c r="G77" s="660">
        <f>G79+G78+G80+G81</f>
        <v>13464000</v>
      </c>
      <c r="H77" s="660">
        <f>H78+H79+H80+H81</f>
        <v>103620</v>
      </c>
      <c r="I77" s="979">
        <f>J77+M77</f>
        <v>4475480</v>
      </c>
      <c r="J77" s="979">
        <f>K77+L77</f>
        <v>3804158</v>
      </c>
      <c r="K77" s="978">
        <v>3804158</v>
      </c>
      <c r="L77" s="978">
        <v>0</v>
      </c>
      <c r="M77" s="979">
        <f>N77+Q77+T77</f>
        <v>671322</v>
      </c>
      <c r="N77" s="979">
        <f>O77+P77</f>
        <v>223774</v>
      </c>
      <c r="O77" s="978">
        <v>223774</v>
      </c>
      <c r="P77" s="978">
        <v>0</v>
      </c>
      <c r="Q77" s="979">
        <f>R77+S77</f>
        <v>447548</v>
      </c>
      <c r="R77" s="978">
        <v>447548</v>
      </c>
      <c r="S77" s="978">
        <v>0</v>
      </c>
      <c r="T77" s="979">
        <f>U77+V77</f>
        <v>0</v>
      </c>
      <c r="U77" s="978">
        <v>0</v>
      </c>
      <c r="V77" s="978">
        <v>0</v>
      </c>
    </row>
    <row r="78" spans="1:22" s="661" customFormat="1" ht="14.1" customHeight="1">
      <c r="A78" s="950"/>
      <c r="B78" s="971"/>
      <c r="C78" s="969"/>
      <c r="D78" s="961"/>
      <c r="E78" s="971"/>
      <c r="F78" s="950"/>
      <c r="G78" s="660">
        <v>11444400</v>
      </c>
      <c r="H78" s="660">
        <v>88077</v>
      </c>
      <c r="I78" s="979"/>
      <c r="J78" s="979"/>
      <c r="K78" s="978"/>
      <c r="L78" s="978"/>
      <c r="M78" s="979"/>
      <c r="N78" s="979"/>
      <c r="O78" s="978"/>
      <c r="P78" s="978"/>
      <c r="Q78" s="979"/>
      <c r="R78" s="978"/>
      <c r="S78" s="978"/>
      <c r="T78" s="979"/>
      <c r="U78" s="978"/>
      <c r="V78" s="978"/>
    </row>
    <row r="79" spans="1:22" s="661" customFormat="1" ht="14.1" customHeight="1">
      <c r="A79" s="950"/>
      <c r="B79" s="971"/>
      <c r="C79" s="969"/>
      <c r="D79" s="961"/>
      <c r="E79" s="971"/>
      <c r="F79" s="950"/>
      <c r="G79" s="660">
        <v>673200</v>
      </c>
      <c r="H79" s="660">
        <v>5181</v>
      </c>
      <c r="I79" s="979"/>
      <c r="J79" s="979"/>
      <c r="K79" s="978"/>
      <c r="L79" s="978"/>
      <c r="M79" s="979"/>
      <c r="N79" s="979"/>
      <c r="O79" s="978"/>
      <c r="P79" s="978"/>
      <c r="Q79" s="979"/>
      <c r="R79" s="978"/>
      <c r="S79" s="978"/>
      <c r="T79" s="979"/>
      <c r="U79" s="978"/>
      <c r="V79" s="978"/>
    </row>
    <row r="80" spans="1:22" s="661" customFormat="1" ht="14.1" customHeight="1">
      <c r="A80" s="950"/>
      <c r="B80" s="971"/>
      <c r="C80" s="969"/>
      <c r="D80" s="961"/>
      <c r="E80" s="971"/>
      <c r="F80" s="950"/>
      <c r="G80" s="660">
        <v>1346400</v>
      </c>
      <c r="H80" s="660">
        <v>10362</v>
      </c>
      <c r="I80" s="979"/>
      <c r="J80" s="979"/>
      <c r="K80" s="978"/>
      <c r="L80" s="978"/>
      <c r="M80" s="979"/>
      <c r="N80" s="979"/>
      <c r="O80" s="978"/>
      <c r="P80" s="978"/>
      <c r="Q80" s="979"/>
      <c r="R80" s="978"/>
      <c r="S80" s="978"/>
      <c r="T80" s="979"/>
      <c r="U80" s="978"/>
      <c r="V80" s="978"/>
    </row>
    <row r="81" spans="1:22" s="661" customFormat="1" ht="14.1" customHeight="1">
      <c r="A81" s="950"/>
      <c r="B81" s="971"/>
      <c r="C81" s="970"/>
      <c r="D81" s="961"/>
      <c r="E81" s="971"/>
      <c r="F81" s="950"/>
      <c r="G81" s="660">
        <v>0</v>
      </c>
      <c r="H81" s="660">
        <v>0</v>
      </c>
      <c r="I81" s="979"/>
      <c r="J81" s="979"/>
      <c r="K81" s="978"/>
      <c r="L81" s="978"/>
      <c r="M81" s="979"/>
      <c r="N81" s="979"/>
      <c r="O81" s="978"/>
      <c r="P81" s="978"/>
      <c r="Q81" s="979"/>
      <c r="R81" s="978"/>
      <c r="S81" s="978"/>
      <c r="T81" s="979"/>
      <c r="U81" s="978"/>
      <c r="V81" s="978"/>
    </row>
    <row r="82" spans="1:22" s="661" customFormat="1" ht="14.1" customHeight="1">
      <c r="A82" s="950">
        <v>14</v>
      </c>
      <c r="B82" s="971" t="s">
        <v>849</v>
      </c>
      <c r="C82" s="968" t="s">
        <v>850</v>
      </c>
      <c r="D82" s="961" t="s">
        <v>851</v>
      </c>
      <c r="E82" s="971" t="s">
        <v>852</v>
      </c>
      <c r="F82" s="950" t="s">
        <v>847</v>
      </c>
      <c r="G82" s="660">
        <f>G84+G83+G85+G86</f>
        <v>39283370</v>
      </c>
      <c r="H82" s="660">
        <f>H83+H84+H85+H86</f>
        <v>352347</v>
      </c>
      <c r="I82" s="979">
        <f>J82+M82</f>
        <v>17624211</v>
      </c>
      <c r="J82" s="979">
        <f>K82+L82</f>
        <v>15837254</v>
      </c>
      <c r="K82" s="978">
        <v>15837254</v>
      </c>
      <c r="L82" s="978">
        <v>0</v>
      </c>
      <c r="M82" s="979">
        <f>N82+Q82+T82</f>
        <v>1786957</v>
      </c>
      <c r="N82" s="979">
        <f>O82+P82</f>
        <v>1786957</v>
      </c>
      <c r="O82" s="978">
        <v>1786957</v>
      </c>
      <c r="P82" s="978">
        <v>0</v>
      </c>
      <c r="Q82" s="979">
        <f>R82+S82</f>
        <v>0</v>
      </c>
      <c r="R82" s="978">
        <v>0</v>
      </c>
      <c r="S82" s="978">
        <v>0</v>
      </c>
      <c r="T82" s="979">
        <f>U82+V82</f>
        <v>0</v>
      </c>
      <c r="U82" s="978">
        <v>0</v>
      </c>
      <c r="V82" s="978">
        <v>0</v>
      </c>
    </row>
    <row r="83" spans="1:22" s="661" customFormat="1" ht="14.1" customHeight="1">
      <c r="A83" s="950"/>
      <c r="B83" s="971"/>
      <c r="C83" s="969"/>
      <c r="D83" s="961"/>
      <c r="E83" s="971"/>
      <c r="F83" s="950"/>
      <c r="G83" s="660">
        <v>35146831</v>
      </c>
      <c r="H83" s="660">
        <v>315245</v>
      </c>
      <c r="I83" s="979"/>
      <c r="J83" s="979"/>
      <c r="K83" s="978"/>
      <c r="L83" s="978"/>
      <c r="M83" s="979"/>
      <c r="N83" s="979"/>
      <c r="O83" s="978"/>
      <c r="P83" s="978"/>
      <c r="Q83" s="979"/>
      <c r="R83" s="978"/>
      <c r="S83" s="978"/>
      <c r="T83" s="979"/>
      <c r="U83" s="978"/>
      <c r="V83" s="978"/>
    </row>
    <row r="84" spans="1:22" s="661" customFormat="1" ht="14.1" customHeight="1">
      <c r="A84" s="950"/>
      <c r="B84" s="971"/>
      <c r="C84" s="969"/>
      <c r="D84" s="961"/>
      <c r="E84" s="971"/>
      <c r="F84" s="950"/>
      <c r="G84" s="660">
        <v>4136539</v>
      </c>
      <c r="H84" s="660">
        <v>37102</v>
      </c>
      <c r="I84" s="979"/>
      <c r="J84" s="979"/>
      <c r="K84" s="978"/>
      <c r="L84" s="978"/>
      <c r="M84" s="979"/>
      <c r="N84" s="979"/>
      <c r="O84" s="978"/>
      <c r="P84" s="978"/>
      <c r="Q84" s="979"/>
      <c r="R84" s="978"/>
      <c r="S84" s="978"/>
      <c r="T84" s="979"/>
      <c r="U84" s="978"/>
      <c r="V84" s="978"/>
    </row>
    <row r="85" spans="1:22" s="661" customFormat="1" ht="14.1" customHeight="1">
      <c r="A85" s="950"/>
      <c r="B85" s="971"/>
      <c r="C85" s="969"/>
      <c r="D85" s="961"/>
      <c r="E85" s="971"/>
      <c r="F85" s="950"/>
      <c r="G85" s="660">
        <v>0</v>
      </c>
      <c r="H85" s="660">
        <v>0</v>
      </c>
      <c r="I85" s="979"/>
      <c r="J85" s="979"/>
      <c r="K85" s="978"/>
      <c r="L85" s="978"/>
      <c r="M85" s="979"/>
      <c r="N85" s="979"/>
      <c r="O85" s="978"/>
      <c r="P85" s="978"/>
      <c r="Q85" s="979"/>
      <c r="R85" s="978"/>
      <c r="S85" s="978"/>
      <c r="T85" s="979"/>
      <c r="U85" s="978"/>
      <c r="V85" s="978"/>
    </row>
    <row r="86" spans="1:22" s="661" customFormat="1" ht="14.1" customHeight="1">
      <c r="A86" s="950"/>
      <c r="B86" s="971"/>
      <c r="C86" s="970"/>
      <c r="D86" s="961"/>
      <c r="E86" s="971"/>
      <c r="F86" s="950"/>
      <c r="G86" s="660">
        <v>0</v>
      </c>
      <c r="H86" s="660">
        <v>0</v>
      </c>
      <c r="I86" s="979"/>
      <c r="J86" s="979"/>
      <c r="K86" s="978"/>
      <c r="L86" s="978"/>
      <c r="M86" s="979"/>
      <c r="N86" s="979"/>
      <c r="O86" s="978"/>
      <c r="P86" s="978"/>
      <c r="Q86" s="979"/>
      <c r="R86" s="978"/>
      <c r="S86" s="978"/>
      <c r="T86" s="979"/>
      <c r="U86" s="978"/>
      <c r="V86" s="978"/>
    </row>
    <row r="87" spans="1:22" s="661" customFormat="1" ht="14.1" customHeight="1">
      <c r="A87" s="950">
        <v>15</v>
      </c>
      <c r="B87" s="971" t="s">
        <v>853</v>
      </c>
      <c r="C87" s="968" t="s">
        <v>854</v>
      </c>
      <c r="D87" s="961" t="s">
        <v>851</v>
      </c>
      <c r="E87" s="971" t="s">
        <v>855</v>
      </c>
      <c r="F87" s="950" t="s">
        <v>847</v>
      </c>
      <c r="G87" s="660">
        <f>G89+G88+G90+G91</f>
        <v>4876581</v>
      </c>
      <c r="H87" s="660">
        <f>H88+H89+H90+H91</f>
        <v>116159</v>
      </c>
      <c r="I87" s="979">
        <f>J87+M87</f>
        <v>2267613</v>
      </c>
      <c r="J87" s="979">
        <f>K87+L87</f>
        <v>2028833</v>
      </c>
      <c r="K87" s="978">
        <v>2028833</v>
      </c>
      <c r="L87" s="978">
        <v>0</v>
      </c>
      <c r="M87" s="979">
        <f>N87+Q87+T87</f>
        <v>238780</v>
      </c>
      <c r="N87" s="979">
        <f>O87+P87</f>
        <v>238780</v>
      </c>
      <c r="O87" s="978">
        <v>238780</v>
      </c>
      <c r="P87" s="978">
        <v>0</v>
      </c>
      <c r="Q87" s="979">
        <f>R87+S87</f>
        <v>0</v>
      </c>
      <c r="R87" s="978">
        <v>0</v>
      </c>
      <c r="S87" s="978">
        <v>0</v>
      </c>
      <c r="T87" s="979">
        <f>U87+V87</f>
        <v>0</v>
      </c>
      <c r="U87" s="978">
        <v>0</v>
      </c>
      <c r="V87" s="978">
        <v>0</v>
      </c>
    </row>
    <row r="88" spans="1:22" s="661" customFormat="1" ht="14.1" customHeight="1">
      <c r="A88" s="950"/>
      <c r="B88" s="971"/>
      <c r="C88" s="969"/>
      <c r="D88" s="961"/>
      <c r="E88" s="971"/>
      <c r="F88" s="950"/>
      <c r="G88" s="660">
        <v>4363257</v>
      </c>
      <c r="H88" s="660">
        <v>103927</v>
      </c>
      <c r="I88" s="979"/>
      <c r="J88" s="979"/>
      <c r="K88" s="978"/>
      <c r="L88" s="978"/>
      <c r="M88" s="979"/>
      <c r="N88" s="979"/>
      <c r="O88" s="978"/>
      <c r="P88" s="978"/>
      <c r="Q88" s="979"/>
      <c r="R88" s="978"/>
      <c r="S88" s="978"/>
      <c r="T88" s="979"/>
      <c r="U88" s="978"/>
      <c r="V88" s="978"/>
    </row>
    <row r="89" spans="1:22" s="661" customFormat="1" ht="14.1" customHeight="1">
      <c r="A89" s="950"/>
      <c r="B89" s="971"/>
      <c r="C89" s="969"/>
      <c r="D89" s="961"/>
      <c r="E89" s="971"/>
      <c r="F89" s="950"/>
      <c r="G89" s="660">
        <v>513324</v>
      </c>
      <c r="H89" s="660">
        <v>12232</v>
      </c>
      <c r="I89" s="979"/>
      <c r="J89" s="979"/>
      <c r="K89" s="978"/>
      <c r="L89" s="978"/>
      <c r="M89" s="979"/>
      <c r="N89" s="979"/>
      <c r="O89" s="978"/>
      <c r="P89" s="978"/>
      <c r="Q89" s="979"/>
      <c r="R89" s="978"/>
      <c r="S89" s="978"/>
      <c r="T89" s="979"/>
      <c r="U89" s="978"/>
      <c r="V89" s="978"/>
    </row>
    <row r="90" spans="1:22" s="661" customFormat="1" ht="14.1" customHeight="1">
      <c r="A90" s="950"/>
      <c r="B90" s="971"/>
      <c r="C90" s="969"/>
      <c r="D90" s="961"/>
      <c r="E90" s="971"/>
      <c r="F90" s="950"/>
      <c r="G90" s="660">
        <v>0</v>
      </c>
      <c r="H90" s="660">
        <v>0</v>
      </c>
      <c r="I90" s="979"/>
      <c r="J90" s="979"/>
      <c r="K90" s="978"/>
      <c r="L90" s="978"/>
      <c r="M90" s="979"/>
      <c r="N90" s="979"/>
      <c r="O90" s="978"/>
      <c r="P90" s="978"/>
      <c r="Q90" s="979"/>
      <c r="R90" s="978"/>
      <c r="S90" s="978"/>
      <c r="T90" s="979"/>
      <c r="U90" s="978"/>
      <c r="V90" s="978"/>
    </row>
    <row r="91" spans="1:22" s="661" customFormat="1" ht="14.1" customHeight="1">
      <c r="A91" s="950"/>
      <c r="B91" s="971"/>
      <c r="C91" s="970"/>
      <c r="D91" s="961"/>
      <c r="E91" s="971"/>
      <c r="F91" s="950"/>
      <c r="G91" s="660">
        <v>0</v>
      </c>
      <c r="H91" s="660">
        <v>0</v>
      </c>
      <c r="I91" s="979"/>
      <c r="J91" s="979"/>
      <c r="K91" s="978"/>
      <c r="L91" s="978"/>
      <c r="M91" s="979"/>
      <c r="N91" s="979"/>
      <c r="O91" s="978"/>
      <c r="P91" s="978"/>
      <c r="Q91" s="979"/>
      <c r="R91" s="978"/>
      <c r="S91" s="978"/>
      <c r="T91" s="979"/>
      <c r="U91" s="978"/>
      <c r="V91" s="978"/>
    </row>
    <row r="92" spans="1:22" s="661" customFormat="1" ht="14.1" customHeight="1">
      <c r="A92" s="950">
        <v>16</v>
      </c>
      <c r="B92" s="971" t="s">
        <v>856</v>
      </c>
      <c r="C92" s="968" t="s">
        <v>857</v>
      </c>
      <c r="D92" s="961" t="s">
        <v>424</v>
      </c>
      <c r="E92" s="971" t="s">
        <v>840</v>
      </c>
      <c r="F92" s="950" t="s">
        <v>833</v>
      </c>
      <c r="G92" s="660">
        <f>G94+G93+G95+G96</f>
        <v>405625</v>
      </c>
      <c r="H92" s="660">
        <f>H93+H94+H95+H96</f>
        <v>125000</v>
      </c>
      <c r="I92" s="979">
        <f>J92+M92</f>
        <v>187500</v>
      </c>
      <c r="J92" s="979">
        <f>K92+L92</f>
        <v>159375</v>
      </c>
      <c r="K92" s="978">
        <v>159375</v>
      </c>
      <c r="L92" s="978">
        <v>0</v>
      </c>
      <c r="M92" s="979">
        <f>N92+Q92+T92</f>
        <v>28125</v>
      </c>
      <c r="N92" s="979">
        <f>O92+P92</f>
        <v>18750</v>
      </c>
      <c r="O92" s="978">
        <v>18750</v>
      </c>
      <c r="P92" s="978">
        <v>0</v>
      </c>
      <c r="Q92" s="979">
        <f>R92+S92</f>
        <v>9375</v>
      </c>
      <c r="R92" s="978">
        <v>9375</v>
      </c>
      <c r="S92" s="978">
        <v>0</v>
      </c>
      <c r="T92" s="979">
        <f>U92+V92</f>
        <v>0</v>
      </c>
      <c r="U92" s="978">
        <v>0</v>
      </c>
      <c r="V92" s="978">
        <v>0</v>
      </c>
    </row>
    <row r="93" spans="1:22" s="661" customFormat="1" ht="14.1" customHeight="1">
      <c r="A93" s="950"/>
      <c r="B93" s="971"/>
      <c r="C93" s="969"/>
      <c r="D93" s="961"/>
      <c r="E93" s="971"/>
      <c r="F93" s="950"/>
      <c r="G93" s="660">
        <v>344781</v>
      </c>
      <c r="H93" s="660">
        <v>106250</v>
      </c>
      <c r="I93" s="979"/>
      <c r="J93" s="979"/>
      <c r="K93" s="978"/>
      <c r="L93" s="978"/>
      <c r="M93" s="979"/>
      <c r="N93" s="979"/>
      <c r="O93" s="978"/>
      <c r="P93" s="978"/>
      <c r="Q93" s="979"/>
      <c r="R93" s="978"/>
      <c r="S93" s="978"/>
      <c r="T93" s="979"/>
      <c r="U93" s="978"/>
      <c r="V93" s="978"/>
    </row>
    <row r="94" spans="1:22" s="661" customFormat="1" ht="14.1" customHeight="1">
      <c r="A94" s="950"/>
      <c r="B94" s="971"/>
      <c r="C94" s="969"/>
      <c r="D94" s="961"/>
      <c r="E94" s="971"/>
      <c r="F94" s="950"/>
      <c r="G94" s="660">
        <v>40563</v>
      </c>
      <c r="H94" s="660">
        <v>12500</v>
      </c>
      <c r="I94" s="979"/>
      <c r="J94" s="979"/>
      <c r="K94" s="978"/>
      <c r="L94" s="978"/>
      <c r="M94" s="979"/>
      <c r="N94" s="979"/>
      <c r="O94" s="978"/>
      <c r="P94" s="978"/>
      <c r="Q94" s="979"/>
      <c r="R94" s="978"/>
      <c r="S94" s="978"/>
      <c r="T94" s="979"/>
      <c r="U94" s="978"/>
      <c r="V94" s="978"/>
    </row>
    <row r="95" spans="1:22" s="661" customFormat="1" ht="14.1" customHeight="1">
      <c r="A95" s="950"/>
      <c r="B95" s="971"/>
      <c r="C95" s="969"/>
      <c r="D95" s="961"/>
      <c r="E95" s="971"/>
      <c r="F95" s="950"/>
      <c r="G95" s="660">
        <v>20281</v>
      </c>
      <c r="H95" s="660">
        <v>6250</v>
      </c>
      <c r="I95" s="979"/>
      <c r="J95" s="979"/>
      <c r="K95" s="978"/>
      <c r="L95" s="978"/>
      <c r="M95" s="979"/>
      <c r="N95" s="979"/>
      <c r="O95" s="978"/>
      <c r="P95" s="978"/>
      <c r="Q95" s="979"/>
      <c r="R95" s="978"/>
      <c r="S95" s="978"/>
      <c r="T95" s="979"/>
      <c r="U95" s="978"/>
      <c r="V95" s="978"/>
    </row>
    <row r="96" spans="1:22" s="661" customFormat="1" ht="14.1" customHeight="1">
      <c r="A96" s="950"/>
      <c r="B96" s="971"/>
      <c r="C96" s="970"/>
      <c r="D96" s="961"/>
      <c r="E96" s="971"/>
      <c r="F96" s="950"/>
      <c r="G96" s="660">
        <v>0</v>
      </c>
      <c r="H96" s="660">
        <v>0</v>
      </c>
      <c r="I96" s="979"/>
      <c r="J96" s="979"/>
      <c r="K96" s="978"/>
      <c r="L96" s="978"/>
      <c r="M96" s="979"/>
      <c r="N96" s="979"/>
      <c r="O96" s="978"/>
      <c r="P96" s="978"/>
      <c r="Q96" s="979"/>
      <c r="R96" s="978"/>
      <c r="S96" s="978"/>
      <c r="T96" s="979"/>
      <c r="U96" s="978"/>
      <c r="V96" s="978"/>
    </row>
    <row r="97" spans="1:22" s="661" customFormat="1" ht="14.1" customHeight="1">
      <c r="A97" s="950">
        <v>17</v>
      </c>
      <c r="B97" s="971" t="s">
        <v>858</v>
      </c>
      <c r="C97" s="968" t="s">
        <v>859</v>
      </c>
      <c r="D97" s="961" t="s">
        <v>452</v>
      </c>
      <c r="E97" s="971" t="s">
        <v>836</v>
      </c>
      <c r="F97" s="950" t="s">
        <v>847</v>
      </c>
      <c r="G97" s="660">
        <f>G99+G98+G100+G101</f>
        <v>7946253</v>
      </c>
      <c r="H97" s="660">
        <f>H98+H99+H100+H101</f>
        <v>97910</v>
      </c>
      <c r="I97" s="979">
        <f>J97+M97</f>
        <v>2555576</v>
      </c>
      <c r="J97" s="979">
        <f>K97+L97</f>
        <v>2286568</v>
      </c>
      <c r="K97" s="978">
        <v>2286568</v>
      </c>
      <c r="L97" s="978">
        <v>0</v>
      </c>
      <c r="M97" s="979">
        <f>N97+Q97+T97</f>
        <v>269008</v>
      </c>
      <c r="N97" s="979">
        <f>O97+P97</f>
        <v>269008</v>
      </c>
      <c r="O97" s="978">
        <v>269008</v>
      </c>
      <c r="P97" s="978">
        <v>0</v>
      </c>
      <c r="Q97" s="979">
        <f>R97+S97</f>
        <v>0</v>
      </c>
      <c r="R97" s="978">
        <v>0</v>
      </c>
      <c r="S97" s="978">
        <v>0</v>
      </c>
      <c r="T97" s="979">
        <f>U97+V97</f>
        <v>0</v>
      </c>
      <c r="U97" s="978">
        <v>0</v>
      </c>
      <c r="V97" s="978">
        <v>0</v>
      </c>
    </row>
    <row r="98" spans="1:22" s="661" customFormat="1" ht="14.1" customHeight="1">
      <c r="A98" s="950"/>
      <c r="B98" s="971"/>
      <c r="C98" s="969"/>
      <c r="D98" s="961"/>
      <c r="E98" s="971"/>
      <c r="F98" s="950"/>
      <c r="G98" s="660">
        <v>7109805</v>
      </c>
      <c r="H98" s="660">
        <v>87602</v>
      </c>
      <c r="I98" s="979"/>
      <c r="J98" s="979"/>
      <c r="K98" s="978"/>
      <c r="L98" s="978"/>
      <c r="M98" s="979"/>
      <c r="N98" s="979"/>
      <c r="O98" s="978"/>
      <c r="P98" s="978"/>
      <c r="Q98" s="979"/>
      <c r="R98" s="978"/>
      <c r="S98" s="978"/>
      <c r="T98" s="979"/>
      <c r="U98" s="978"/>
      <c r="V98" s="978"/>
    </row>
    <row r="99" spans="1:22" s="661" customFormat="1" ht="14.1" customHeight="1">
      <c r="A99" s="950"/>
      <c r="B99" s="971"/>
      <c r="C99" s="969"/>
      <c r="D99" s="961"/>
      <c r="E99" s="971"/>
      <c r="F99" s="950"/>
      <c r="G99" s="660">
        <v>836448</v>
      </c>
      <c r="H99" s="660">
        <v>10308</v>
      </c>
      <c r="I99" s="979"/>
      <c r="J99" s="979"/>
      <c r="K99" s="978"/>
      <c r="L99" s="978"/>
      <c r="M99" s="979"/>
      <c r="N99" s="979"/>
      <c r="O99" s="978"/>
      <c r="P99" s="978"/>
      <c r="Q99" s="979"/>
      <c r="R99" s="978"/>
      <c r="S99" s="978"/>
      <c r="T99" s="979"/>
      <c r="U99" s="978"/>
      <c r="V99" s="978"/>
    </row>
    <row r="100" spans="1:22" s="661" customFormat="1" ht="14.1" customHeight="1">
      <c r="A100" s="950"/>
      <c r="B100" s="971"/>
      <c r="C100" s="969"/>
      <c r="D100" s="961"/>
      <c r="E100" s="971"/>
      <c r="F100" s="950"/>
      <c r="G100" s="660">
        <v>0</v>
      </c>
      <c r="H100" s="660">
        <v>0</v>
      </c>
      <c r="I100" s="979"/>
      <c r="J100" s="979"/>
      <c r="K100" s="978"/>
      <c r="L100" s="978"/>
      <c r="M100" s="979"/>
      <c r="N100" s="979"/>
      <c r="O100" s="978"/>
      <c r="P100" s="978"/>
      <c r="Q100" s="979"/>
      <c r="R100" s="978"/>
      <c r="S100" s="978"/>
      <c r="T100" s="979"/>
      <c r="U100" s="978"/>
      <c r="V100" s="978"/>
    </row>
    <row r="101" spans="1:22" s="661" customFormat="1" ht="14.1" customHeight="1">
      <c r="A101" s="950"/>
      <c r="B101" s="971"/>
      <c r="C101" s="970"/>
      <c r="D101" s="961"/>
      <c r="E101" s="971"/>
      <c r="F101" s="950"/>
      <c r="G101" s="660">
        <v>0</v>
      </c>
      <c r="H101" s="660">
        <v>0</v>
      </c>
      <c r="I101" s="979"/>
      <c r="J101" s="979"/>
      <c r="K101" s="978"/>
      <c r="L101" s="978"/>
      <c r="M101" s="979"/>
      <c r="N101" s="979"/>
      <c r="O101" s="978"/>
      <c r="P101" s="978"/>
      <c r="Q101" s="979"/>
      <c r="R101" s="978"/>
      <c r="S101" s="978"/>
      <c r="T101" s="979"/>
      <c r="U101" s="978"/>
      <c r="V101" s="978"/>
    </row>
    <row r="102" spans="1:22" s="663" customFormat="1">
      <c r="A102" s="980" t="s">
        <v>817</v>
      </c>
      <c r="B102" s="981"/>
      <c r="C102" s="981"/>
      <c r="D102" s="981"/>
      <c r="E102" s="981"/>
      <c r="F102" s="982"/>
      <c r="G102" s="662">
        <f>G17+G22+G27+G32+G37+G42+G47+G52+G57+G62+G67+G72+G77+G82+G87+G92+G97</f>
        <v>329059829</v>
      </c>
      <c r="H102" s="662">
        <f>H17+H22+H27+H32+H37+H42+H47+H52+H57+H62+H67+H72+H77+H82+H87+H92+H97</f>
        <v>1564663</v>
      </c>
      <c r="I102" s="988">
        <f>SUM(I17:I101)</f>
        <v>168190463</v>
      </c>
      <c r="J102" s="988">
        <f t="shared" ref="J102:V102" si="0">SUM(J17:J101)</f>
        <v>145762293</v>
      </c>
      <c r="K102" s="988">
        <f t="shared" si="0"/>
        <v>29435101</v>
      </c>
      <c r="L102" s="988">
        <f t="shared" si="0"/>
        <v>116327192</v>
      </c>
      <c r="M102" s="988">
        <f t="shared" si="0"/>
        <v>22428170</v>
      </c>
      <c r="N102" s="988">
        <f t="shared" si="0"/>
        <v>14284946</v>
      </c>
      <c r="O102" s="988">
        <f t="shared" si="0"/>
        <v>2906011</v>
      </c>
      <c r="P102" s="988">
        <f t="shared" si="0"/>
        <v>11378935</v>
      </c>
      <c r="Q102" s="988">
        <f t="shared" si="0"/>
        <v>8143224</v>
      </c>
      <c r="R102" s="988">
        <f t="shared" si="0"/>
        <v>994720</v>
      </c>
      <c r="S102" s="988">
        <f t="shared" si="0"/>
        <v>7148504</v>
      </c>
      <c r="T102" s="988">
        <f t="shared" si="0"/>
        <v>0</v>
      </c>
      <c r="U102" s="988">
        <f t="shared" si="0"/>
        <v>0</v>
      </c>
      <c r="V102" s="988">
        <f t="shared" si="0"/>
        <v>0</v>
      </c>
    </row>
    <row r="103" spans="1:22" s="663" customFormat="1">
      <c r="A103" s="983"/>
      <c r="B103" s="933"/>
      <c r="C103" s="933"/>
      <c r="D103" s="933"/>
      <c r="E103" s="933"/>
      <c r="F103" s="984"/>
      <c r="G103" s="662">
        <f t="shared" ref="G103:H106" si="1">G18+G23+G28+G33+G38+G43+G48+G53+G58+G63+G68+G73+G78+G83+G88+G93+G98</f>
        <v>285960978</v>
      </c>
      <c r="H103" s="662">
        <f t="shared" si="1"/>
        <v>1384803</v>
      </c>
      <c r="I103" s="988"/>
      <c r="J103" s="988"/>
      <c r="K103" s="988"/>
      <c r="L103" s="988"/>
      <c r="M103" s="988"/>
      <c r="N103" s="988"/>
      <c r="O103" s="988"/>
      <c r="P103" s="988"/>
      <c r="Q103" s="988"/>
      <c r="R103" s="988"/>
      <c r="S103" s="988"/>
      <c r="T103" s="988"/>
      <c r="U103" s="988"/>
      <c r="V103" s="988"/>
    </row>
    <row r="104" spans="1:22" s="663" customFormat="1">
      <c r="A104" s="983"/>
      <c r="B104" s="933"/>
      <c r="C104" s="933"/>
      <c r="D104" s="933"/>
      <c r="E104" s="933"/>
      <c r="F104" s="984"/>
      <c r="G104" s="662">
        <f t="shared" si="1"/>
        <v>23418375</v>
      </c>
      <c r="H104" s="662">
        <f t="shared" si="1"/>
        <v>152268</v>
      </c>
      <c r="I104" s="988"/>
      <c r="J104" s="988"/>
      <c r="K104" s="988"/>
      <c r="L104" s="988"/>
      <c r="M104" s="988"/>
      <c r="N104" s="988"/>
      <c r="O104" s="988"/>
      <c r="P104" s="988"/>
      <c r="Q104" s="988"/>
      <c r="R104" s="988"/>
      <c r="S104" s="988"/>
      <c r="T104" s="988"/>
      <c r="U104" s="988"/>
      <c r="V104" s="988"/>
    </row>
    <row r="105" spans="1:22" s="663" customFormat="1">
      <c r="A105" s="983"/>
      <c r="B105" s="933"/>
      <c r="C105" s="933"/>
      <c r="D105" s="933"/>
      <c r="E105" s="933"/>
      <c r="F105" s="984"/>
      <c r="G105" s="662">
        <f t="shared" si="1"/>
        <v>19680476</v>
      </c>
      <c r="H105" s="662">
        <f t="shared" si="1"/>
        <v>27592</v>
      </c>
      <c r="I105" s="988"/>
      <c r="J105" s="988"/>
      <c r="K105" s="988"/>
      <c r="L105" s="988"/>
      <c r="M105" s="988"/>
      <c r="N105" s="988"/>
      <c r="O105" s="988"/>
      <c r="P105" s="988"/>
      <c r="Q105" s="988"/>
      <c r="R105" s="988"/>
      <c r="S105" s="988"/>
      <c r="T105" s="988"/>
      <c r="U105" s="988"/>
      <c r="V105" s="988"/>
    </row>
    <row r="106" spans="1:22" s="663" customFormat="1">
      <c r="A106" s="985"/>
      <c r="B106" s="986"/>
      <c r="C106" s="986"/>
      <c r="D106" s="986"/>
      <c r="E106" s="986"/>
      <c r="F106" s="987"/>
      <c r="G106" s="662">
        <f t="shared" si="1"/>
        <v>0</v>
      </c>
      <c r="H106" s="662">
        <f t="shared" si="1"/>
        <v>0</v>
      </c>
      <c r="I106" s="988"/>
      <c r="J106" s="988"/>
      <c r="K106" s="988"/>
      <c r="L106" s="988"/>
      <c r="M106" s="988"/>
      <c r="N106" s="988"/>
      <c r="O106" s="988"/>
      <c r="P106" s="988"/>
      <c r="Q106" s="988"/>
      <c r="R106" s="988"/>
      <c r="S106" s="988"/>
      <c r="T106" s="988"/>
      <c r="U106" s="988"/>
      <c r="V106" s="988"/>
    </row>
    <row r="107" spans="1:22" s="648" customFormat="1" ht="4.5" customHeight="1">
      <c r="A107" s="972"/>
      <c r="B107" s="973"/>
      <c r="C107" s="973"/>
      <c r="D107" s="973"/>
      <c r="E107" s="973"/>
      <c r="F107" s="973"/>
      <c r="G107" s="973"/>
      <c r="H107" s="973"/>
      <c r="I107" s="973"/>
      <c r="J107" s="973"/>
      <c r="K107" s="973"/>
      <c r="L107" s="973"/>
      <c r="M107" s="973"/>
      <c r="N107" s="973"/>
      <c r="O107" s="973"/>
      <c r="P107" s="973"/>
      <c r="Q107" s="973"/>
      <c r="R107" s="973"/>
      <c r="S107" s="973"/>
      <c r="T107" s="973"/>
      <c r="U107" s="973"/>
      <c r="V107" s="974"/>
    </row>
    <row r="108" spans="1:22" s="648" customFormat="1" ht="23.25" customHeight="1">
      <c r="A108" s="975" t="s">
        <v>860</v>
      </c>
      <c r="B108" s="976"/>
      <c r="C108" s="976"/>
      <c r="D108" s="976"/>
      <c r="E108" s="976"/>
      <c r="F108" s="976"/>
      <c r="G108" s="976"/>
      <c r="H108" s="976"/>
      <c r="I108" s="976"/>
      <c r="J108" s="976"/>
      <c r="K108" s="976"/>
      <c r="L108" s="976"/>
      <c r="M108" s="976"/>
      <c r="N108" s="976"/>
      <c r="O108" s="976"/>
      <c r="P108" s="976"/>
      <c r="Q108" s="976"/>
      <c r="R108" s="976"/>
      <c r="S108" s="976"/>
      <c r="T108" s="976"/>
      <c r="U108" s="976"/>
      <c r="V108" s="977"/>
    </row>
    <row r="109" spans="1:22" s="648" customFormat="1" ht="3" customHeight="1">
      <c r="A109" s="972"/>
      <c r="B109" s="973"/>
      <c r="C109" s="973"/>
      <c r="D109" s="973"/>
      <c r="E109" s="973"/>
      <c r="F109" s="973"/>
      <c r="G109" s="973"/>
      <c r="H109" s="973"/>
      <c r="I109" s="973"/>
      <c r="J109" s="973"/>
      <c r="K109" s="973"/>
      <c r="L109" s="973"/>
      <c r="M109" s="973"/>
      <c r="N109" s="973"/>
      <c r="O109" s="973"/>
      <c r="P109" s="973"/>
      <c r="Q109" s="973"/>
      <c r="R109" s="973"/>
      <c r="S109" s="973"/>
      <c r="T109" s="973"/>
      <c r="U109" s="973"/>
      <c r="V109" s="974"/>
    </row>
    <row r="110" spans="1:22" s="661" customFormat="1" ht="14.25" customHeight="1">
      <c r="A110" s="950">
        <v>1</v>
      </c>
      <c r="B110" s="971" t="s">
        <v>861</v>
      </c>
      <c r="C110" s="960" t="s">
        <v>862</v>
      </c>
      <c r="D110" s="961" t="s">
        <v>800</v>
      </c>
      <c r="E110" s="961" t="s">
        <v>863</v>
      </c>
      <c r="F110" s="961" t="s">
        <v>833</v>
      </c>
      <c r="G110" s="660">
        <f>G112+G111+G113+G114</f>
        <v>96232819</v>
      </c>
      <c r="H110" s="660">
        <f>H111+H112+H113+H114</f>
        <v>0</v>
      </c>
      <c r="I110" s="979">
        <f>J110+M110</f>
        <v>58839770</v>
      </c>
      <c r="J110" s="979">
        <f>K110+L110</f>
        <v>50013805</v>
      </c>
      <c r="K110" s="978">
        <v>49928805</v>
      </c>
      <c r="L110" s="978">
        <v>85000</v>
      </c>
      <c r="M110" s="979">
        <f>N110+Q110+T110</f>
        <v>8825965</v>
      </c>
      <c r="N110" s="979">
        <f>O110+P110</f>
        <v>0</v>
      </c>
      <c r="O110" s="978">
        <v>0</v>
      </c>
      <c r="P110" s="978">
        <v>0</v>
      </c>
      <c r="Q110" s="979">
        <f>R110+S110</f>
        <v>8825965</v>
      </c>
      <c r="R110" s="978">
        <v>8810965</v>
      </c>
      <c r="S110" s="978">
        <v>15000</v>
      </c>
      <c r="T110" s="979">
        <f>U110+V110</f>
        <v>0</v>
      </c>
      <c r="U110" s="978">
        <v>0</v>
      </c>
      <c r="V110" s="978">
        <v>0</v>
      </c>
    </row>
    <row r="111" spans="1:22" s="661" customFormat="1" ht="14.25" customHeight="1">
      <c r="A111" s="950"/>
      <c r="B111" s="971"/>
      <c r="C111" s="960"/>
      <c r="D111" s="961"/>
      <c r="E111" s="961"/>
      <c r="F111" s="961"/>
      <c r="G111" s="660">
        <v>81797896</v>
      </c>
      <c r="H111" s="660">
        <v>0</v>
      </c>
      <c r="I111" s="979"/>
      <c r="J111" s="979"/>
      <c r="K111" s="978"/>
      <c r="L111" s="978"/>
      <c r="M111" s="979"/>
      <c r="N111" s="979"/>
      <c r="O111" s="978"/>
      <c r="P111" s="978"/>
      <c r="Q111" s="979"/>
      <c r="R111" s="978"/>
      <c r="S111" s="978"/>
      <c r="T111" s="979"/>
      <c r="U111" s="978"/>
      <c r="V111" s="978"/>
    </row>
    <row r="112" spans="1:22" s="661" customFormat="1" ht="14.25" customHeight="1">
      <c r="A112" s="950"/>
      <c r="B112" s="971"/>
      <c r="C112" s="960"/>
      <c r="D112" s="961"/>
      <c r="E112" s="961"/>
      <c r="F112" s="961"/>
      <c r="G112" s="660">
        <v>0</v>
      </c>
      <c r="H112" s="660">
        <v>0</v>
      </c>
      <c r="I112" s="979"/>
      <c r="J112" s="979"/>
      <c r="K112" s="978"/>
      <c r="L112" s="978"/>
      <c r="M112" s="979"/>
      <c r="N112" s="979"/>
      <c r="O112" s="978"/>
      <c r="P112" s="978"/>
      <c r="Q112" s="979"/>
      <c r="R112" s="978"/>
      <c r="S112" s="978"/>
      <c r="T112" s="979"/>
      <c r="U112" s="978"/>
      <c r="V112" s="978"/>
    </row>
    <row r="113" spans="1:22" s="661" customFormat="1" ht="14.25" customHeight="1">
      <c r="A113" s="950"/>
      <c r="B113" s="971"/>
      <c r="C113" s="960"/>
      <c r="D113" s="961"/>
      <c r="E113" s="961"/>
      <c r="F113" s="961"/>
      <c r="G113" s="660">
        <v>14434923</v>
      </c>
      <c r="H113" s="660">
        <v>0</v>
      </c>
      <c r="I113" s="979"/>
      <c r="J113" s="979"/>
      <c r="K113" s="978"/>
      <c r="L113" s="978"/>
      <c r="M113" s="979"/>
      <c r="N113" s="979"/>
      <c r="O113" s="978"/>
      <c r="P113" s="978"/>
      <c r="Q113" s="979"/>
      <c r="R113" s="978"/>
      <c r="S113" s="978"/>
      <c r="T113" s="979"/>
      <c r="U113" s="978"/>
      <c r="V113" s="978"/>
    </row>
    <row r="114" spans="1:22" s="661" customFormat="1" ht="14.25" customHeight="1">
      <c r="A114" s="950"/>
      <c r="B114" s="971"/>
      <c r="C114" s="960"/>
      <c r="D114" s="961"/>
      <c r="E114" s="961"/>
      <c r="F114" s="961"/>
      <c r="G114" s="660">
        <v>0</v>
      </c>
      <c r="H114" s="660">
        <v>0</v>
      </c>
      <c r="I114" s="979"/>
      <c r="J114" s="979"/>
      <c r="K114" s="978"/>
      <c r="L114" s="978"/>
      <c r="M114" s="979"/>
      <c r="N114" s="979"/>
      <c r="O114" s="978"/>
      <c r="P114" s="978"/>
      <c r="Q114" s="979"/>
      <c r="R114" s="978"/>
      <c r="S114" s="978"/>
      <c r="T114" s="979"/>
      <c r="U114" s="978"/>
      <c r="V114" s="978"/>
    </row>
    <row r="115" spans="1:22" s="661" customFormat="1" ht="14.25" customHeight="1">
      <c r="A115" s="950">
        <v>2</v>
      </c>
      <c r="B115" s="971" t="s">
        <v>861</v>
      </c>
      <c r="C115" s="960" t="s">
        <v>864</v>
      </c>
      <c r="D115" s="961" t="s">
        <v>800</v>
      </c>
      <c r="E115" s="961" t="s">
        <v>865</v>
      </c>
      <c r="F115" s="961" t="s">
        <v>833</v>
      </c>
      <c r="G115" s="660">
        <f>G117+G116+G118+G119</f>
        <v>2836779</v>
      </c>
      <c r="H115" s="660">
        <f>H116+H117+H118+H119</f>
        <v>0</v>
      </c>
      <c r="I115" s="979">
        <f>J115+M115</f>
        <v>2254799</v>
      </c>
      <c r="J115" s="979">
        <f>K115+L115</f>
        <v>2254799</v>
      </c>
      <c r="K115" s="978">
        <v>2254799</v>
      </c>
      <c r="L115" s="978">
        <v>0</v>
      </c>
      <c r="M115" s="979">
        <f>N115+Q115+T115</f>
        <v>0</v>
      </c>
      <c r="N115" s="979">
        <f>O115+P115</f>
        <v>0</v>
      </c>
      <c r="O115" s="978">
        <v>0</v>
      </c>
      <c r="P115" s="978">
        <v>0</v>
      </c>
      <c r="Q115" s="979">
        <f>R115+S115</f>
        <v>0</v>
      </c>
      <c r="R115" s="978">
        <v>0</v>
      </c>
      <c r="S115" s="978">
        <v>0</v>
      </c>
      <c r="T115" s="979">
        <f>U115+V115</f>
        <v>0</v>
      </c>
      <c r="U115" s="978">
        <v>0</v>
      </c>
      <c r="V115" s="978">
        <v>0</v>
      </c>
    </row>
    <row r="116" spans="1:22" s="661" customFormat="1" ht="14.25" customHeight="1">
      <c r="A116" s="950"/>
      <c r="B116" s="971"/>
      <c r="C116" s="960"/>
      <c r="D116" s="961"/>
      <c r="E116" s="961"/>
      <c r="F116" s="961"/>
      <c r="G116" s="660">
        <v>2836779</v>
      </c>
      <c r="H116" s="660">
        <v>0</v>
      </c>
      <c r="I116" s="979"/>
      <c r="J116" s="979"/>
      <c r="K116" s="978"/>
      <c r="L116" s="978"/>
      <c r="M116" s="979"/>
      <c r="N116" s="979"/>
      <c r="O116" s="978"/>
      <c r="P116" s="978"/>
      <c r="Q116" s="979"/>
      <c r="R116" s="978"/>
      <c r="S116" s="978"/>
      <c r="T116" s="979"/>
      <c r="U116" s="978"/>
      <c r="V116" s="978"/>
    </row>
    <row r="117" spans="1:22" s="661" customFormat="1" ht="14.25" customHeight="1">
      <c r="A117" s="950"/>
      <c r="B117" s="971"/>
      <c r="C117" s="960"/>
      <c r="D117" s="961"/>
      <c r="E117" s="961"/>
      <c r="F117" s="961"/>
      <c r="G117" s="660">
        <v>0</v>
      </c>
      <c r="H117" s="660">
        <v>0</v>
      </c>
      <c r="I117" s="979"/>
      <c r="J117" s="979"/>
      <c r="K117" s="978"/>
      <c r="L117" s="978"/>
      <c r="M117" s="979"/>
      <c r="N117" s="979"/>
      <c r="O117" s="978"/>
      <c r="P117" s="978"/>
      <c r="Q117" s="979"/>
      <c r="R117" s="978"/>
      <c r="S117" s="978"/>
      <c r="T117" s="979"/>
      <c r="U117" s="978"/>
      <c r="V117" s="978"/>
    </row>
    <row r="118" spans="1:22" s="661" customFormat="1" ht="14.25" customHeight="1">
      <c r="A118" s="950"/>
      <c r="B118" s="971"/>
      <c r="C118" s="960"/>
      <c r="D118" s="961"/>
      <c r="E118" s="961"/>
      <c r="F118" s="961"/>
      <c r="G118" s="660">
        <v>0</v>
      </c>
      <c r="H118" s="660">
        <v>0</v>
      </c>
      <c r="I118" s="979"/>
      <c r="J118" s="979"/>
      <c r="K118" s="978"/>
      <c r="L118" s="978"/>
      <c r="M118" s="979"/>
      <c r="N118" s="979"/>
      <c r="O118" s="978"/>
      <c r="P118" s="978"/>
      <c r="Q118" s="979"/>
      <c r="R118" s="978"/>
      <c r="S118" s="978"/>
      <c r="T118" s="979"/>
      <c r="U118" s="978"/>
      <c r="V118" s="978"/>
    </row>
    <row r="119" spans="1:22" s="661" customFormat="1" ht="14.25" customHeight="1">
      <c r="A119" s="950"/>
      <c r="B119" s="971"/>
      <c r="C119" s="960"/>
      <c r="D119" s="961"/>
      <c r="E119" s="961"/>
      <c r="F119" s="961"/>
      <c r="G119" s="660">
        <v>0</v>
      </c>
      <c r="H119" s="660">
        <v>0</v>
      </c>
      <c r="I119" s="979"/>
      <c r="J119" s="979"/>
      <c r="K119" s="978"/>
      <c r="L119" s="978"/>
      <c r="M119" s="979"/>
      <c r="N119" s="979"/>
      <c r="O119" s="978"/>
      <c r="P119" s="978"/>
      <c r="Q119" s="979"/>
      <c r="R119" s="978"/>
      <c r="S119" s="978"/>
      <c r="T119" s="979"/>
      <c r="U119" s="978"/>
      <c r="V119" s="978"/>
    </row>
    <row r="120" spans="1:22" s="661" customFormat="1" ht="14.25" customHeight="1">
      <c r="A120" s="950">
        <v>3</v>
      </c>
      <c r="B120" s="971" t="s">
        <v>861</v>
      </c>
      <c r="C120" s="960" t="s">
        <v>862</v>
      </c>
      <c r="D120" s="961" t="s">
        <v>851</v>
      </c>
      <c r="E120" s="961" t="s">
        <v>866</v>
      </c>
      <c r="F120" s="961" t="s">
        <v>833</v>
      </c>
      <c r="G120" s="660">
        <f>G122+G121+G123+G124</f>
        <v>4713294</v>
      </c>
      <c r="H120" s="660">
        <f>H121+H122+H123+H124</f>
        <v>0</v>
      </c>
      <c r="I120" s="979">
        <f>J120+M120</f>
        <v>3607176</v>
      </c>
      <c r="J120" s="979">
        <f>K120+L120</f>
        <v>3066100</v>
      </c>
      <c r="K120" s="978">
        <v>3066100</v>
      </c>
      <c r="L120" s="978">
        <v>0</v>
      </c>
      <c r="M120" s="979">
        <f>N120+Q120+T120</f>
        <v>541076</v>
      </c>
      <c r="N120" s="979">
        <f>O120+P120</f>
        <v>0</v>
      </c>
      <c r="O120" s="978">
        <v>0</v>
      </c>
      <c r="P120" s="978">
        <v>0</v>
      </c>
      <c r="Q120" s="979">
        <f>R120+S120</f>
        <v>541076</v>
      </c>
      <c r="R120" s="978">
        <v>541076</v>
      </c>
      <c r="S120" s="978">
        <v>0</v>
      </c>
      <c r="T120" s="979">
        <f>U120+V120</f>
        <v>0</v>
      </c>
      <c r="U120" s="978">
        <v>0</v>
      </c>
      <c r="V120" s="978">
        <v>0</v>
      </c>
    </row>
    <row r="121" spans="1:22" s="661" customFormat="1" ht="14.25" customHeight="1">
      <c r="A121" s="950"/>
      <c r="B121" s="971"/>
      <c r="C121" s="960"/>
      <c r="D121" s="961"/>
      <c r="E121" s="961"/>
      <c r="F121" s="961"/>
      <c r="G121" s="660">
        <v>4006300</v>
      </c>
      <c r="H121" s="660">
        <v>0</v>
      </c>
      <c r="I121" s="979"/>
      <c r="J121" s="979"/>
      <c r="K121" s="978"/>
      <c r="L121" s="978"/>
      <c r="M121" s="979"/>
      <c r="N121" s="979"/>
      <c r="O121" s="978"/>
      <c r="P121" s="978"/>
      <c r="Q121" s="979"/>
      <c r="R121" s="978"/>
      <c r="S121" s="978"/>
      <c r="T121" s="979"/>
      <c r="U121" s="978"/>
      <c r="V121" s="978"/>
    </row>
    <row r="122" spans="1:22" s="661" customFormat="1" ht="14.25" customHeight="1">
      <c r="A122" s="950"/>
      <c r="B122" s="971"/>
      <c r="C122" s="960"/>
      <c r="D122" s="961"/>
      <c r="E122" s="961"/>
      <c r="F122" s="961"/>
      <c r="G122" s="660">
        <v>0</v>
      </c>
      <c r="H122" s="660">
        <v>0</v>
      </c>
      <c r="I122" s="979"/>
      <c r="J122" s="979"/>
      <c r="K122" s="978"/>
      <c r="L122" s="978"/>
      <c r="M122" s="979"/>
      <c r="N122" s="979"/>
      <c r="O122" s="978"/>
      <c r="P122" s="978"/>
      <c r="Q122" s="979"/>
      <c r="R122" s="978"/>
      <c r="S122" s="978"/>
      <c r="T122" s="979"/>
      <c r="U122" s="978"/>
      <c r="V122" s="978"/>
    </row>
    <row r="123" spans="1:22" s="661" customFormat="1" ht="14.25" customHeight="1">
      <c r="A123" s="950"/>
      <c r="B123" s="971"/>
      <c r="C123" s="960"/>
      <c r="D123" s="961"/>
      <c r="E123" s="961"/>
      <c r="F123" s="961"/>
      <c r="G123" s="660">
        <v>706994</v>
      </c>
      <c r="H123" s="660">
        <v>0</v>
      </c>
      <c r="I123" s="979"/>
      <c r="J123" s="979"/>
      <c r="K123" s="978"/>
      <c r="L123" s="978"/>
      <c r="M123" s="979"/>
      <c r="N123" s="979"/>
      <c r="O123" s="978"/>
      <c r="P123" s="978"/>
      <c r="Q123" s="979"/>
      <c r="R123" s="978"/>
      <c r="S123" s="978"/>
      <c r="T123" s="979"/>
      <c r="U123" s="978"/>
      <c r="V123" s="978"/>
    </row>
    <row r="124" spans="1:22" s="661" customFormat="1" ht="14.25" customHeight="1">
      <c r="A124" s="950"/>
      <c r="B124" s="971"/>
      <c r="C124" s="960"/>
      <c r="D124" s="961"/>
      <c r="E124" s="961"/>
      <c r="F124" s="961"/>
      <c r="G124" s="660">
        <v>0</v>
      </c>
      <c r="H124" s="660">
        <v>0</v>
      </c>
      <c r="I124" s="979"/>
      <c r="J124" s="979"/>
      <c r="K124" s="978"/>
      <c r="L124" s="978"/>
      <c r="M124" s="979"/>
      <c r="N124" s="979"/>
      <c r="O124" s="978"/>
      <c r="P124" s="978"/>
      <c r="Q124" s="979"/>
      <c r="R124" s="978"/>
      <c r="S124" s="978"/>
      <c r="T124" s="979"/>
      <c r="U124" s="978"/>
      <c r="V124" s="978"/>
    </row>
    <row r="125" spans="1:22" s="661" customFormat="1" ht="14.25" customHeight="1">
      <c r="A125" s="950">
        <v>4</v>
      </c>
      <c r="B125" s="971" t="s">
        <v>867</v>
      </c>
      <c r="C125" s="960" t="s">
        <v>868</v>
      </c>
      <c r="D125" s="961" t="s">
        <v>800</v>
      </c>
      <c r="E125" s="961" t="s">
        <v>863</v>
      </c>
      <c r="F125" s="961" t="s">
        <v>833</v>
      </c>
      <c r="G125" s="660">
        <f>G127+G126+G128+G129</f>
        <v>6299912</v>
      </c>
      <c r="H125" s="660">
        <f>H126+H127+H128+H129</f>
        <v>0</v>
      </c>
      <c r="I125" s="979">
        <f>J125+M125</f>
        <v>3633878</v>
      </c>
      <c r="J125" s="979">
        <f>K125+L125</f>
        <v>3088796</v>
      </c>
      <c r="K125" s="978">
        <v>3088796</v>
      </c>
      <c r="L125" s="978">
        <v>0</v>
      </c>
      <c r="M125" s="979">
        <f>N125+Q125+T125</f>
        <v>545082</v>
      </c>
      <c r="N125" s="979">
        <f>O125+P125</f>
        <v>0</v>
      </c>
      <c r="O125" s="978">
        <v>0</v>
      </c>
      <c r="P125" s="978">
        <v>0</v>
      </c>
      <c r="Q125" s="979">
        <f>R125+S125</f>
        <v>545082</v>
      </c>
      <c r="R125" s="978">
        <v>545082</v>
      </c>
      <c r="S125" s="978">
        <v>0</v>
      </c>
      <c r="T125" s="979">
        <f>U125+V125</f>
        <v>0</v>
      </c>
      <c r="U125" s="978">
        <v>0</v>
      </c>
      <c r="V125" s="978">
        <v>0</v>
      </c>
    </row>
    <row r="126" spans="1:22" s="661" customFormat="1" ht="14.25" customHeight="1">
      <c r="A126" s="950"/>
      <c r="B126" s="971"/>
      <c r="C126" s="960"/>
      <c r="D126" s="961"/>
      <c r="E126" s="961"/>
      <c r="F126" s="961"/>
      <c r="G126" s="660">
        <v>5354925</v>
      </c>
      <c r="H126" s="660">
        <v>0</v>
      </c>
      <c r="I126" s="979"/>
      <c r="J126" s="979"/>
      <c r="K126" s="978"/>
      <c r="L126" s="978"/>
      <c r="M126" s="979"/>
      <c r="N126" s="979"/>
      <c r="O126" s="978"/>
      <c r="P126" s="978"/>
      <c r="Q126" s="979"/>
      <c r="R126" s="978"/>
      <c r="S126" s="978"/>
      <c r="T126" s="979"/>
      <c r="U126" s="978"/>
      <c r="V126" s="978"/>
    </row>
    <row r="127" spans="1:22" s="661" customFormat="1" ht="14.25" customHeight="1">
      <c r="A127" s="950"/>
      <c r="B127" s="971"/>
      <c r="C127" s="960"/>
      <c r="D127" s="961"/>
      <c r="E127" s="961"/>
      <c r="F127" s="961"/>
      <c r="G127" s="660">
        <v>0</v>
      </c>
      <c r="H127" s="660">
        <v>0</v>
      </c>
      <c r="I127" s="979"/>
      <c r="J127" s="979"/>
      <c r="K127" s="978"/>
      <c r="L127" s="978"/>
      <c r="M127" s="979"/>
      <c r="N127" s="979"/>
      <c r="O127" s="978"/>
      <c r="P127" s="978"/>
      <c r="Q127" s="979"/>
      <c r="R127" s="978"/>
      <c r="S127" s="978"/>
      <c r="T127" s="979"/>
      <c r="U127" s="978"/>
      <c r="V127" s="978"/>
    </row>
    <row r="128" spans="1:22" s="661" customFormat="1" ht="14.25" customHeight="1">
      <c r="A128" s="950"/>
      <c r="B128" s="971"/>
      <c r="C128" s="960"/>
      <c r="D128" s="961"/>
      <c r="E128" s="961"/>
      <c r="F128" s="961"/>
      <c r="G128" s="660">
        <v>944987</v>
      </c>
      <c r="H128" s="660">
        <v>0</v>
      </c>
      <c r="I128" s="979"/>
      <c r="J128" s="979"/>
      <c r="K128" s="978"/>
      <c r="L128" s="978"/>
      <c r="M128" s="979"/>
      <c r="N128" s="979"/>
      <c r="O128" s="978"/>
      <c r="P128" s="978"/>
      <c r="Q128" s="979"/>
      <c r="R128" s="978"/>
      <c r="S128" s="978"/>
      <c r="T128" s="979"/>
      <c r="U128" s="978"/>
      <c r="V128" s="978"/>
    </row>
    <row r="129" spans="1:22" s="661" customFormat="1" ht="14.25" customHeight="1">
      <c r="A129" s="950"/>
      <c r="B129" s="971"/>
      <c r="C129" s="960"/>
      <c r="D129" s="961"/>
      <c r="E129" s="961"/>
      <c r="F129" s="961"/>
      <c r="G129" s="660">
        <v>0</v>
      </c>
      <c r="H129" s="660">
        <v>0</v>
      </c>
      <c r="I129" s="979"/>
      <c r="J129" s="979"/>
      <c r="K129" s="978"/>
      <c r="L129" s="978"/>
      <c r="M129" s="979"/>
      <c r="N129" s="979"/>
      <c r="O129" s="978"/>
      <c r="P129" s="978"/>
      <c r="Q129" s="979"/>
      <c r="R129" s="978"/>
      <c r="S129" s="978"/>
      <c r="T129" s="979"/>
      <c r="U129" s="978"/>
      <c r="V129" s="978"/>
    </row>
    <row r="130" spans="1:22" s="661" customFormat="1" ht="14.25" customHeight="1">
      <c r="A130" s="950">
        <v>5</v>
      </c>
      <c r="B130" s="971" t="s">
        <v>867</v>
      </c>
      <c r="C130" s="960" t="s">
        <v>869</v>
      </c>
      <c r="D130" s="961" t="s">
        <v>800</v>
      </c>
      <c r="E130" s="961" t="s">
        <v>865</v>
      </c>
      <c r="F130" s="961" t="s">
        <v>828</v>
      </c>
      <c r="G130" s="660">
        <f>G132+G131+G133+G134</f>
        <v>42500</v>
      </c>
      <c r="H130" s="660">
        <f>H131+H132+H133+H134</f>
        <v>0</v>
      </c>
      <c r="I130" s="979">
        <f>J130+M130</f>
        <v>42500</v>
      </c>
      <c r="J130" s="979">
        <f>K130+L130</f>
        <v>42500</v>
      </c>
      <c r="K130" s="978">
        <v>42500</v>
      </c>
      <c r="L130" s="978">
        <v>0</v>
      </c>
      <c r="M130" s="979">
        <f>N130+Q130+T130</f>
        <v>0</v>
      </c>
      <c r="N130" s="979">
        <f>O130+P130</f>
        <v>0</v>
      </c>
      <c r="O130" s="978">
        <v>0</v>
      </c>
      <c r="P130" s="978">
        <v>0</v>
      </c>
      <c r="Q130" s="979">
        <f>R130+S130</f>
        <v>0</v>
      </c>
      <c r="R130" s="978">
        <v>0</v>
      </c>
      <c r="S130" s="978">
        <v>0</v>
      </c>
      <c r="T130" s="979">
        <f>U130+V130</f>
        <v>0</v>
      </c>
      <c r="U130" s="978">
        <v>0</v>
      </c>
      <c r="V130" s="978">
        <v>0</v>
      </c>
    </row>
    <row r="131" spans="1:22" s="661" customFormat="1" ht="14.25" customHeight="1">
      <c r="A131" s="950"/>
      <c r="B131" s="971"/>
      <c r="C131" s="960"/>
      <c r="D131" s="961"/>
      <c r="E131" s="961"/>
      <c r="F131" s="961"/>
      <c r="G131" s="660">
        <v>42500</v>
      </c>
      <c r="H131" s="660">
        <v>0</v>
      </c>
      <c r="I131" s="979"/>
      <c r="J131" s="979"/>
      <c r="K131" s="978"/>
      <c r="L131" s="978"/>
      <c r="M131" s="979"/>
      <c r="N131" s="979"/>
      <c r="O131" s="978"/>
      <c r="P131" s="978"/>
      <c r="Q131" s="979"/>
      <c r="R131" s="978"/>
      <c r="S131" s="978"/>
      <c r="T131" s="979"/>
      <c r="U131" s="978"/>
      <c r="V131" s="978"/>
    </row>
    <row r="132" spans="1:22" s="661" customFormat="1" ht="14.25" customHeight="1">
      <c r="A132" s="950"/>
      <c r="B132" s="971"/>
      <c r="C132" s="960"/>
      <c r="D132" s="961"/>
      <c r="E132" s="961"/>
      <c r="F132" s="961"/>
      <c r="G132" s="660">
        <v>0</v>
      </c>
      <c r="H132" s="660">
        <v>0</v>
      </c>
      <c r="I132" s="979"/>
      <c r="J132" s="979"/>
      <c r="K132" s="978"/>
      <c r="L132" s="978"/>
      <c r="M132" s="979"/>
      <c r="N132" s="979"/>
      <c r="O132" s="978"/>
      <c r="P132" s="978"/>
      <c r="Q132" s="979"/>
      <c r="R132" s="978"/>
      <c r="S132" s="978"/>
      <c r="T132" s="979"/>
      <c r="U132" s="978"/>
      <c r="V132" s="978"/>
    </row>
    <row r="133" spans="1:22" s="661" customFormat="1" ht="14.25" customHeight="1">
      <c r="A133" s="950"/>
      <c r="B133" s="971"/>
      <c r="C133" s="960"/>
      <c r="D133" s="961"/>
      <c r="E133" s="961"/>
      <c r="F133" s="961"/>
      <c r="G133" s="660">
        <v>0</v>
      </c>
      <c r="H133" s="660">
        <v>0</v>
      </c>
      <c r="I133" s="979"/>
      <c r="J133" s="979"/>
      <c r="K133" s="978"/>
      <c r="L133" s="978"/>
      <c r="M133" s="979"/>
      <c r="N133" s="979"/>
      <c r="O133" s="978"/>
      <c r="P133" s="978"/>
      <c r="Q133" s="979"/>
      <c r="R133" s="978"/>
      <c r="S133" s="978"/>
      <c r="T133" s="979"/>
      <c r="U133" s="978"/>
      <c r="V133" s="978"/>
    </row>
    <row r="134" spans="1:22" s="661" customFormat="1" ht="14.25" customHeight="1">
      <c r="A134" s="950"/>
      <c r="B134" s="971"/>
      <c r="C134" s="960"/>
      <c r="D134" s="961"/>
      <c r="E134" s="961"/>
      <c r="F134" s="961"/>
      <c r="G134" s="660">
        <v>0</v>
      </c>
      <c r="H134" s="660">
        <v>0</v>
      </c>
      <c r="I134" s="979"/>
      <c r="J134" s="979"/>
      <c r="K134" s="978"/>
      <c r="L134" s="978"/>
      <c r="M134" s="979"/>
      <c r="N134" s="979"/>
      <c r="O134" s="978"/>
      <c r="P134" s="978"/>
      <c r="Q134" s="979"/>
      <c r="R134" s="978"/>
      <c r="S134" s="978"/>
      <c r="T134" s="979"/>
      <c r="U134" s="978"/>
      <c r="V134" s="978"/>
    </row>
    <row r="135" spans="1:22" s="661" customFormat="1" ht="14.25" customHeight="1">
      <c r="A135" s="950">
        <v>6</v>
      </c>
      <c r="B135" s="971" t="s">
        <v>867</v>
      </c>
      <c r="C135" s="960" t="s">
        <v>868</v>
      </c>
      <c r="D135" s="961" t="s">
        <v>851</v>
      </c>
      <c r="E135" s="961" t="s">
        <v>866</v>
      </c>
      <c r="F135" s="961" t="s">
        <v>833</v>
      </c>
      <c r="G135" s="660">
        <f>G137+G136+G138+G139</f>
        <v>51765</v>
      </c>
      <c r="H135" s="660">
        <f>H136+H137+H138+H139</f>
        <v>0</v>
      </c>
      <c r="I135" s="979">
        <f>J135+M135</f>
        <v>40000</v>
      </c>
      <c r="J135" s="979">
        <f>K135+L135</f>
        <v>34000</v>
      </c>
      <c r="K135" s="978">
        <v>34000</v>
      </c>
      <c r="L135" s="978">
        <v>0</v>
      </c>
      <c r="M135" s="979">
        <f>N135+Q135+T135</f>
        <v>6000</v>
      </c>
      <c r="N135" s="979">
        <f>O135+P135</f>
        <v>0</v>
      </c>
      <c r="O135" s="978">
        <v>0</v>
      </c>
      <c r="P135" s="978">
        <v>0</v>
      </c>
      <c r="Q135" s="979">
        <f>R135+S135</f>
        <v>6000</v>
      </c>
      <c r="R135" s="978">
        <v>6000</v>
      </c>
      <c r="S135" s="978">
        <v>0</v>
      </c>
      <c r="T135" s="979">
        <f>U135+V135</f>
        <v>0</v>
      </c>
      <c r="U135" s="978">
        <v>0</v>
      </c>
      <c r="V135" s="978">
        <v>0</v>
      </c>
    </row>
    <row r="136" spans="1:22" s="661" customFormat="1" ht="14.25" customHeight="1">
      <c r="A136" s="950"/>
      <c r="B136" s="971"/>
      <c r="C136" s="960"/>
      <c r="D136" s="961"/>
      <c r="E136" s="961"/>
      <c r="F136" s="961"/>
      <c r="G136" s="660">
        <v>44000</v>
      </c>
      <c r="H136" s="660">
        <v>0</v>
      </c>
      <c r="I136" s="979"/>
      <c r="J136" s="979"/>
      <c r="K136" s="978"/>
      <c r="L136" s="978"/>
      <c r="M136" s="979"/>
      <c r="N136" s="979"/>
      <c r="O136" s="978"/>
      <c r="P136" s="978"/>
      <c r="Q136" s="979"/>
      <c r="R136" s="978"/>
      <c r="S136" s="978"/>
      <c r="T136" s="979"/>
      <c r="U136" s="978"/>
      <c r="V136" s="978"/>
    </row>
    <row r="137" spans="1:22" s="661" customFormat="1" ht="14.25" customHeight="1">
      <c r="A137" s="950"/>
      <c r="B137" s="971"/>
      <c r="C137" s="960"/>
      <c r="D137" s="961"/>
      <c r="E137" s="961"/>
      <c r="F137" s="961"/>
      <c r="G137" s="660">
        <v>0</v>
      </c>
      <c r="H137" s="660">
        <v>0</v>
      </c>
      <c r="I137" s="979"/>
      <c r="J137" s="979"/>
      <c r="K137" s="978"/>
      <c r="L137" s="978"/>
      <c r="M137" s="979"/>
      <c r="N137" s="979"/>
      <c r="O137" s="978"/>
      <c r="P137" s="978"/>
      <c r="Q137" s="979"/>
      <c r="R137" s="978"/>
      <c r="S137" s="978"/>
      <c r="T137" s="979"/>
      <c r="U137" s="978"/>
      <c r="V137" s="978"/>
    </row>
    <row r="138" spans="1:22" s="661" customFormat="1" ht="14.25" customHeight="1">
      <c r="A138" s="950"/>
      <c r="B138" s="971"/>
      <c r="C138" s="960"/>
      <c r="D138" s="961"/>
      <c r="E138" s="961"/>
      <c r="F138" s="961"/>
      <c r="G138" s="660">
        <v>7765</v>
      </c>
      <c r="H138" s="660">
        <v>0</v>
      </c>
      <c r="I138" s="979"/>
      <c r="J138" s="979"/>
      <c r="K138" s="978"/>
      <c r="L138" s="978"/>
      <c r="M138" s="979"/>
      <c r="N138" s="979"/>
      <c r="O138" s="978"/>
      <c r="P138" s="978"/>
      <c r="Q138" s="979"/>
      <c r="R138" s="978"/>
      <c r="S138" s="978"/>
      <c r="T138" s="979"/>
      <c r="U138" s="978"/>
      <c r="V138" s="978"/>
    </row>
    <row r="139" spans="1:22" s="661" customFormat="1" ht="14.25" customHeight="1">
      <c r="A139" s="950"/>
      <c r="B139" s="971"/>
      <c r="C139" s="960"/>
      <c r="D139" s="961"/>
      <c r="E139" s="961"/>
      <c r="F139" s="961"/>
      <c r="G139" s="660">
        <v>0</v>
      </c>
      <c r="H139" s="660">
        <v>0</v>
      </c>
      <c r="I139" s="979"/>
      <c r="J139" s="979"/>
      <c r="K139" s="978"/>
      <c r="L139" s="978"/>
      <c r="M139" s="979"/>
      <c r="N139" s="979"/>
      <c r="O139" s="978"/>
      <c r="P139" s="978"/>
      <c r="Q139" s="979"/>
      <c r="R139" s="978"/>
      <c r="S139" s="978"/>
      <c r="T139" s="979"/>
      <c r="U139" s="978"/>
      <c r="V139" s="978"/>
    </row>
    <row r="140" spans="1:22" s="663" customFormat="1">
      <c r="A140" s="980" t="s">
        <v>870</v>
      </c>
      <c r="B140" s="981"/>
      <c r="C140" s="981"/>
      <c r="D140" s="981"/>
      <c r="E140" s="981"/>
      <c r="F140" s="982"/>
      <c r="G140" s="662">
        <f>G110+G115+G120+G125+G130+G135</f>
        <v>110177069</v>
      </c>
      <c r="H140" s="662">
        <f>H110+H115+H120+H125+H130+H135</f>
        <v>0</v>
      </c>
      <c r="I140" s="988">
        <f>SUM(I110:I139)</f>
        <v>68418123</v>
      </c>
      <c r="J140" s="988">
        <f t="shared" ref="J140:V140" si="2">SUM(J110:J139)</f>
        <v>58500000</v>
      </c>
      <c r="K140" s="988">
        <f t="shared" si="2"/>
        <v>58415000</v>
      </c>
      <c r="L140" s="988">
        <f t="shared" si="2"/>
        <v>85000</v>
      </c>
      <c r="M140" s="988">
        <f t="shared" si="2"/>
        <v>9918123</v>
      </c>
      <c r="N140" s="988">
        <f t="shared" si="2"/>
        <v>0</v>
      </c>
      <c r="O140" s="988">
        <f t="shared" si="2"/>
        <v>0</v>
      </c>
      <c r="P140" s="988">
        <f t="shared" si="2"/>
        <v>0</v>
      </c>
      <c r="Q140" s="988">
        <f t="shared" si="2"/>
        <v>9918123</v>
      </c>
      <c r="R140" s="988">
        <f t="shared" si="2"/>
        <v>9903123</v>
      </c>
      <c r="S140" s="988">
        <f t="shared" si="2"/>
        <v>15000</v>
      </c>
      <c r="T140" s="988">
        <f t="shared" si="2"/>
        <v>0</v>
      </c>
      <c r="U140" s="988">
        <f t="shared" si="2"/>
        <v>0</v>
      </c>
      <c r="V140" s="988">
        <f t="shared" si="2"/>
        <v>0</v>
      </c>
    </row>
    <row r="141" spans="1:22" s="663" customFormat="1">
      <c r="A141" s="983"/>
      <c r="B141" s="933"/>
      <c r="C141" s="933"/>
      <c r="D141" s="933"/>
      <c r="E141" s="933"/>
      <c r="F141" s="984"/>
      <c r="G141" s="662">
        <f t="shared" ref="G141:H144" si="3">G111+G116+G121+G126+G131+G136</f>
        <v>94082400</v>
      </c>
      <c r="H141" s="662">
        <f t="shared" si="3"/>
        <v>0</v>
      </c>
      <c r="I141" s="988"/>
      <c r="J141" s="988"/>
      <c r="K141" s="988"/>
      <c r="L141" s="988"/>
      <c r="M141" s="988"/>
      <c r="N141" s="988"/>
      <c r="O141" s="988"/>
      <c r="P141" s="988"/>
      <c r="Q141" s="988"/>
      <c r="R141" s="988"/>
      <c r="S141" s="988"/>
      <c r="T141" s="988"/>
      <c r="U141" s="988"/>
      <c r="V141" s="988"/>
    </row>
    <row r="142" spans="1:22" s="663" customFormat="1">
      <c r="A142" s="983"/>
      <c r="B142" s="933"/>
      <c r="C142" s="933"/>
      <c r="D142" s="933"/>
      <c r="E142" s="933"/>
      <c r="F142" s="984"/>
      <c r="G142" s="662">
        <f t="shared" si="3"/>
        <v>0</v>
      </c>
      <c r="H142" s="662">
        <f t="shared" si="3"/>
        <v>0</v>
      </c>
      <c r="I142" s="988"/>
      <c r="J142" s="988"/>
      <c r="K142" s="988"/>
      <c r="L142" s="988"/>
      <c r="M142" s="988"/>
      <c r="N142" s="988"/>
      <c r="O142" s="988"/>
      <c r="P142" s="988"/>
      <c r="Q142" s="988"/>
      <c r="R142" s="988"/>
      <c r="S142" s="988"/>
      <c r="T142" s="988"/>
      <c r="U142" s="988"/>
      <c r="V142" s="988"/>
    </row>
    <row r="143" spans="1:22" s="663" customFormat="1">
      <c r="A143" s="983"/>
      <c r="B143" s="933"/>
      <c r="C143" s="933"/>
      <c r="D143" s="933"/>
      <c r="E143" s="933"/>
      <c r="F143" s="984"/>
      <c r="G143" s="662">
        <f t="shared" si="3"/>
        <v>16094669</v>
      </c>
      <c r="H143" s="662">
        <f t="shared" si="3"/>
        <v>0</v>
      </c>
      <c r="I143" s="988"/>
      <c r="J143" s="988"/>
      <c r="K143" s="988"/>
      <c r="L143" s="988"/>
      <c r="M143" s="988"/>
      <c r="N143" s="988"/>
      <c r="O143" s="988"/>
      <c r="P143" s="988"/>
      <c r="Q143" s="988"/>
      <c r="R143" s="988"/>
      <c r="S143" s="988"/>
      <c r="T143" s="988"/>
      <c r="U143" s="988"/>
      <c r="V143" s="988"/>
    </row>
    <row r="144" spans="1:22" s="663" customFormat="1">
      <c r="A144" s="985"/>
      <c r="B144" s="986"/>
      <c r="C144" s="986"/>
      <c r="D144" s="986"/>
      <c r="E144" s="986"/>
      <c r="F144" s="987"/>
      <c r="G144" s="662">
        <f t="shared" si="3"/>
        <v>0</v>
      </c>
      <c r="H144" s="662">
        <f t="shared" si="3"/>
        <v>0</v>
      </c>
      <c r="I144" s="988"/>
      <c r="J144" s="988"/>
      <c r="K144" s="988"/>
      <c r="L144" s="988"/>
      <c r="M144" s="988"/>
      <c r="N144" s="988"/>
      <c r="O144" s="988"/>
      <c r="P144" s="988"/>
      <c r="Q144" s="988"/>
      <c r="R144" s="988"/>
      <c r="S144" s="988"/>
      <c r="T144" s="988"/>
      <c r="U144" s="988"/>
      <c r="V144" s="988"/>
    </row>
    <row r="145" spans="1:22" s="648" customFormat="1" ht="4.5" customHeight="1">
      <c r="A145" s="972"/>
      <c r="B145" s="973"/>
      <c r="C145" s="973"/>
      <c r="D145" s="973"/>
      <c r="E145" s="973"/>
      <c r="F145" s="973"/>
      <c r="G145" s="973"/>
      <c r="H145" s="973"/>
      <c r="I145" s="973"/>
      <c r="J145" s="973"/>
      <c r="K145" s="973"/>
      <c r="L145" s="973"/>
      <c r="M145" s="973"/>
      <c r="N145" s="973"/>
      <c r="O145" s="973"/>
      <c r="P145" s="973"/>
      <c r="Q145" s="973"/>
      <c r="R145" s="973"/>
      <c r="S145" s="973"/>
      <c r="T145" s="973"/>
      <c r="U145" s="973"/>
      <c r="V145" s="974"/>
    </row>
    <row r="146" spans="1:22" s="648" customFormat="1" ht="23.25" customHeight="1">
      <c r="A146" s="975" t="s">
        <v>807</v>
      </c>
      <c r="B146" s="976"/>
      <c r="C146" s="976"/>
      <c r="D146" s="976"/>
      <c r="E146" s="976"/>
      <c r="F146" s="976"/>
      <c r="G146" s="976"/>
      <c r="H146" s="976"/>
      <c r="I146" s="976"/>
      <c r="J146" s="976"/>
      <c r="K146" s="976"/>
      <c r="L146" s="976"/>
      <c r="M146" s="976"/>
      <c r="N146" s="976"/>
      <c r="O146" s="976"/>
      <c r="P146" s="976"/>
      <c r="Q146" s="976"/>
      <c r="R146" s="976"/>
      <c r="S146" s="976"/>
      <c r="T146" s="976"/>
      <c r="U146" s="976"/>
      <c r="V146" s="977"/>
    </row>
    <row r="147" spans="1:22" s="648" customFormat="1" ht="4.5" customHeight="1">
      <c r="A147" s="972"/>
      <c r="B147" s="973"/>
      <c r="C147" s="973"/>
      <c r="D147" s="973"/>
      <c r="E147" s="973"/>
      <c r="F147" s="973"/>
      <c r="G147" s="973"/>
      <c r="H147" s="973"/>
      <c r="I147" s="973"/>
      <c r="J147" s="973"/>
      <c r="K147" s="973"/>
      <c r="L147" s="973"/>
      <c r="M147" s="973"/>
      <c r="N147" s="973"/>
      <c r="O147" s="973"/>
      <c r="P147" s="973"/>
      <c r="Q147" s="973"/>
      <c r="R147" s="973"/>
      <c r="S147" s="973"/>
      <c r="T147" s="973"/>
      <c r="U147" s="973"/>
      <c r="V147" s="974"/>
    </row>
    <row r="148" spans="1:22" s="661" customFormat="1" ht="14.25" customHeight="1">
      <c r="A148" s="950">
        <v>1</v>
      </c>
      <c r="B148" s="971" t="s">
        <v>871</v>
      </c>
      <c r="C148" s="960" t="s">
        <v>872</v>
      </c>
      <c r="D148" s="961" t="s">
        <v>800</v>
      </c>
      <c r="E148" s="961" t="s">
        <v>873</v>
      </c>
      <c r="F148" s="961" t="s">
        <v>421</v>
      </c>
      <c r="G148" s="660" t="s">
        <v>421</v>
      </c>
      <c r="H148" s="660" t="s">
        <v>421</v>
      </c>
      <c r="I148" s="979">
        <f>J148+M148</f>
        <v>461368</v>
      </c>
      <c r="J148" s="979">
        <f>K148+L148</f>
        <v>0</v>
      </c>
      <c r="K148" s="978">
        <v>0</v>
      </c>
      <c r="L148" s="978">
        <v>0</v>
      </c>
      <c r="M148" s="979">
        <f>N148+Q148+T148</f>
        <v>461368</v>
      </c>
      <c r="N148" s="979">
        <f>O148+P148</f>
        <v>461368</v>
      </c>
      <c r="O148" s="978">
        <v>108000</v>
      </c>
      <c r="P148" s="978">
        <v>353368</v>
      </c>
      <c r="Q148" s="979">
        <f>R148+S148</f>
        <v>0</v>
      </c>
      <c r="R148" s="978">
        <v>0</v>
      </c>
      <c r="S148" s="978">
        <v>0</v>
      </c>
      <c r="T148" s="979">
        <f>U148+V148</f>
        <v>0</v>
      </c>
      <c r="U148" s="978">
        <v>0</v>
      </c>
      <c r="V148" s="978">
        <v>0</v>
      </c>
    </row>
    <row r="149" spans="1:22" s="661" customFormat="1" ht="14.25" customHeight="1">
      <c r="A149" s="950"/>
      <c r="B149" s="971"/>
      <c r="C149" s="960"/>
      <c r="D149" s="961"/>
      <c r="E149" s="961"/>
      <c r="F149" s="961"/>
      <c r="G149" s="660" t="s">
        <v>421</v>
      </c>
      <c r="H149" s="660" t="s">
        <v>421</v>
      </c>
      <c r="I149" s="979"/>
      <c r="J149" s="979"/>
      <c r="K149" s="978"/>
      <c r="L149" s="978"/>
      <c r="M149" s="979"/>
      <c r="N149" s="979"/>
      <c r="O149" s="978"/>
      <c r="P149" s="978"/>
      <c r="Q149" s="979"/>
      <c r="R149" s="978"/>
      <c r="S149" s="978"/>
      <c r="T149" s="979"/>
      <c r="U149" s="978"/>
      <c r="V149" s="978"/>
    </row>
    <row r="150" spans="1:22" s="661" customFormat="1" ht="14.25" customHeight="1">
      <c r="A150" s="950"/>
      <c r="B150" s="971"/>
      <c r="C150" s="960"/>
      <c r="D150" s="961"/>
      <c r="E150" s="961"/>
      <c r="F150" s="961"/>
      <c r="G150" s="660" t="s">
        <v>421</v>
      </c>
      <c r="H150" s="660" t="s">
        <v>421</v>
      </c>
      <c r="I150" s="979"/>
      <c r="J150" s="979"/>
      <c r="K150" s="978"/>
      <c r="L150" s="978"/>
      <c r="M150" s="979"/>
      <c r="N150" s="979"/>
      <c r="O150" s="978"/>
      <c r="P150" s="978"/>
      <c r="Q150" s="979"/>
      <c r="R150" s="978"/>
      <c r="S150" s="978"/>
      <c r="T150" s="979"/>
      <c r="U150" s="978"/>
      <c r="V150" s="978"/>
    </row>
    <row r="151" spans="1:22" s="661" customFormat="1" ht="14.25" customHeight="1">
      <c r="A151" s="950"/>
      <c r="B151" s="971"/>
      <c r="C151" s="960"/>
      <c r="D151" s="961"/>
      <c r="E151" s="961"/>
      <c r="F151" s="961"/>
      <c r="G151" s="660" t="s">
        <v>421</v>
      </c>
      <c r="H151" s="660" t="s">
        <v>421</v>
      </c>
      <c r="I151" s="979"/>
      <c r="J151" s="979"/>
      <c r="K151" s="978"/>
      <c r="L151" s="978"/>
      <c r="M151" s="979"/>
      <c r="N151" s="979"/>
      <c r="O151" s="978"/>
      <c r="P151" s="978"/>
      <c r="Q151" s="979"/>
      <c r="R151" s="978"/>
      <c r="S151" s="978"/>
      <c r="T151" s="979"/>
      <c r="U151" s="978"/>
      <c r="V151" s="978"/>
    </row>
    <row r="152" spans="1:22" s="661" customFormat="1" ht="14.25" customHeight="1">
      <c r="A152" s="950"/>
      <c r="B152" s="971"/>
      <c r="C152" s="960"/>
      <c r="D152" s="961"/>
      <c r="E152" s="961"/>
      <c r="F152" s="961"/>
      <c r="G152" s="660" t="s">
        <v>421</v>
      </c>
      <c r="H152" s="660" t="s">
        <v>421</v>
      </c>
      <c r="I152" s="979"/>
      <c r="J152" s="979"/>
      <c r="K152" s="978"/>
      <c r="L152" s="978"/>
      <c r="M152" s="979"/>
      <c r="N152" s="979"/>
      <c r="O152" s="978"/>
      <c r="P152" s="978"/>
      <c r="Q152" s="979"/>
      <c r="R152" s="978"/>
      <c r="S152" s="978"/>
      <c r="T152" s="979"/>
      <c r="U152" s="978"/>
      <c r="V152" s="978"/>
    </row>
    <row r="153" spans="1:22" s="661" customFormat="1" ht="14.25" customHeight="1">
      <c r="A153" s="950">
        <v>2</v>
      </c>
      <c r="B153" s="971" t="s">
        <v>874</v>
      </c>
      <c r="C153" s="960" t="s">
        <v>875</v>
      </c>
      <c r="D153" s="961" t="s">
        <v>800</v>
      </c>
      <c r="E153" s="961" t="s">
        <v>876</v>
      </c>
      <c r="F153" s="961" t="s">
        <v>421</v>
      </c>
      <c r="G153" s="660" t="s">
        <v>421</v>
      </c>
      <c r="H153" s="660" t="s">
        <v>421</v>
      </c>
      <c r="I153" s="979">
        <f>J153+M153</f>
        <v>538632</v>
      </c>
      <c r="J153" s="979">
        <f>K153+L153</f>
        <v>0</v>
      </c>
      <c r="K153" s="978">
        <v>0</v>
      </c>
      <c r="L153" s="978">
        <v>0</v>
      </c>
      <c r="M153" s="979">
        <f>N153+Q153+T153</f>
        <v>538632</v>
      </c>
      <c r="N153" s="979">
        <f>O153+P153</f>
        <v>538632</v>
      </c>
      <c r="O153" s="978"/>
      <c r="P153" s="978">
        <v>538632</v>
      </c>
      <c r="Q153" s="979">
        <f>R153+S153</f>
        <v>0</v>
      </c>
      <c r="R153" s="978">
        <v>0</v>
      </c>
      <c r="S153" s="978">
        <v>0</v>
      </c>
      <c r="T153" s="979">
        <f>U153+V153</f>
        <v>0</v>
      </c>
      <c r="U153" s="978">
        <v>0</v>
      </c>
      <c r="V153" s="978">
        <v>0</v>
      </c>
    </row>
    <row r="154" spans="1:22" s="661" customFormat="1" ht="14.25" customHeight="1">
      <c r="A154" s="950"/>
      <c r="B154" s="971"/>
      <c r="C154" s="960"/>
      <c r="D154" s="961"/>
      <c r="E154" s="961"/>
      <c r="F154" s="961"/>
      <c r="G154" s="660" t="s">
        <v>421</v>
      </c>
      <c r="H154" s="660" t="s">
        <v>421</v>
      </c>
      <c r="I154" s="979"/>
      <c r="J154" s="979"/>
      <c r="K154" s="978"/>
      <c r="L154" s="978"/>
      <c r="M154" s="979"/>
      <c r="N154" s="979"/>
      <c r="O154" s="978"/>
      <c r="P154" s="978"/>
      <c r="Q154" s="979"/>
      <c r="R154" s="978"/>
      <c r="S154" s="978"/>
      <c r="T154" s="979"/>
      <c r="U154" s="978"/>
      <c r="V154" s="978"/>
    </row>
    <row r="155" spans="1:22" s="661" customFormat="1" ht="14.25" customHeight="1">
      <c r="A155" s="950"/>
      <c r="B155" s="971"/>
      <c r="C155" s="960"/>
      <c r="D155" s="961"/>
      <c r="E155" s="961"/>
      <c r="F155" s="961"/>
      <c r="G155" s="660" t="s">
        <v>421</v>
      </c>
      <c r="H155" s="660" t="s">
        <v>421</v>
      </c>
      <c r="I155" s="979"/>
      <c r="J155" s="979"/>
      <c r="K155" s="978"/>
      <c r="L155" s="978"/>
      <c r="M155" s="979"/>
      <c r="N155" s="979"/>
      <c r="O155" s="978"/>
      <c r="P155" s="978"/>
      <c r="Q155" s="979"/>
      <c r="R155" s="978"/>
      <c r="S155" s="978"/>
      <c r="T155" s="979"/>
      <c r="U155" s="978"/>
      <c r="V155" s="978"/>
    </row>
    <row r="156" spans="1:22" s="661" customFormat="1" ht="14.25" customHeight="1">
      <c r="A156" s="950"/>
      <c r="B156" s="971"/>
      <c r="C156" s="960"/>
      <c r="D156" s="961"/>
      <c r="E156" s="961"/>
      <c r="F156" s="961"/>
      <c r="G156" s="660" t="s">
        <v>421</v>
      </c>
      <c r="H156" s="660" t="s">
        <v>421</v>
      </c>
      <c r="I156" s="979"/>
      <c r="J156" s="979"/>
      <c r="K156" s="978"/>
      <c r="L156" s="978"/>
      <c r="M156" s="979"/>
      <c r="N156" s="979"/>
      <c r="O156" s="978"/>
      <c r="P156" s="978"/>
      <c r="Q156" s="979"/>
      <c r="R156" s="978"/>
      <c r="S156" s="978"/>
      <c r="T156" s="979"/>
      <c r="U156" s="978"/>
      <c r="V156" s="978"/>
    </row>
    <row r="157" spans="1:22" s="661" customFormat="1" ht="14.25" customHeight="1">
      <c r="A157" s="950"/>
      <c r="B157" s="971"/>
      <c r="C157" s="960"/>
      <c r="D157" s="961"/>
      <c r="E157" s="961"/>
      <c r="F157" s="961"/>
      <c r="G157" s="660" t="s">
        <v>421</v>
      </c>
      <c r="H157" s="660" t="s">
        <v>421</v>
      </c>
      <c r="I157" s="979"/>
      <c r="J157" s="979"/>
      <c r="K157" s="978"/>
      <c r="L157" s="978"/>
      <c r="M157" s="979"/>
      <c r="N157" s="979"/>
      <c r="O157" s="978"/>
      <c r="P157" s="978"/>
      <c r="Q157" s="979"/>
      <c r="R157" s="978"/>
      <c r="S157" s="978"/>
      <c r="T157" s="979"/>
      <c r="U157" s="978"/>
      <c r="V157" s="978"/>
    </row>
    <row r="158" spans="1:22" s="661" customFormat="1" ht="14.25" customHeight="1">
      <c r="A158" s="950">
        <v>3</v>
      </c>
      <c r="B158" s="971" t="s">
        <v>877</v>
      </c>
      <c r="C158" s="960" t="s">
        <v>878</v>
      </c>
      <c r="D158" s="961" t="s">
        <v>800</v>
      </c>
      <c r="E158" s="961" t="s">
        <v>879</v>
      </c>
      <c r="F158" s="961" t="s">
        <v>421</v>
      </c>
      <c r="G158" s="660" t="s">
        <v>421</v>
      </c>
      <c r="H158" s="660" t="s">
        <v>421</v>
      </c>
      <c r="I158" s="979">
        <f>J158+M158</f>
        <v>2001054</v>
      </c>
      <c r="J158" s="979">
        <f>K158+L158</f>
        <v>0</v>
      </c>
      <c r="K158" s="978">
        <v>0</v>
      </c>
      <c r="L158" s="978">
        <v>0</v>
      </c>
      <c r="M158" s="979">
        <f>N158+Q158+T158</f>
        <v>2001054</v>
      </c>
      <c r="N158" s="979">
        <f>O158+P158</f>
        <v>2001054</v>
      </c>
      <c r="O158" s="978">
        <v>1735054</v>
      </c>
      <c r="P158" s="978">
        <v>266000</v>
      </c>
      <c r="Q158" s="979">
        <f>R158+S158</f>
        <v>0</v>
      </c>
      <c r="R158" s="978">
        <v>0</v>
      </c>
      <c r="S158" s="978">
        <v>0</v>
      </c>
      <c r="T158" s="979">
        <f>U158+V158</f>
        <v>0</v>
      </c>
      <c r="U158" s="978">
        <v>0</v>
      </c>
      <c r="V158" s="978">
        <v>0</v>
      </c>
    </row>
    <row r="159" spans="1:22" s="661" customFormat="1" ht="14.25" customHeight="1">
      <c r="A159" s="950"/>
      <c r="B159" s="971"/>
      <c r="C159" s="960"/>
      <c r="D159" s="961"/>
      <c r="E159" s="961"/>
      <c r="F159" s="961"/>
      <c r="G159" s="660" t="s">
        <v>421</v>
      </c>
      <c r="H159" s="660" t="s">
        <v>421</v>
      </c>
      <c r="I159" s="979"/>
      <c r="J159" s="979"/>
      <c r="K159" s="978"/>
      <c r="L159" s="978"/>
      <c r="M159" s="979"/>
      <c r="N159" s="979"/>
      <c r="O159" s="978"/>
      <c r="P159" s="978"/>
      <c r="Q159" s="979"/>
      <c r="R159" s="978"/>
      <c r="S159" s="978"/>
      <c r="T159" s="979"/>
      <c r="U159" s="978"/>
      <c r="V159" s="978"/>
    </row>
    <row r="160" spans="1:22" s="661" customFormat="1" ht="14.25" customHeight="1">
      <c r="A160" s="950"/>
      <c r="B160" s="971"/>
      <c r="C160" s="960"/>
      <c r="D160" s="961"/>
      <c r="E160" s="961"/>
      <c r="F160" s="961"/>
      <c r="G160" s="660" t="s">
        <v>421</v>
      </c>
      <c r="H160" s="660" t="s">
        <v>421</v>
      </c>
      <c r="I160" s="979"/>
      <c r="J160" s="979"/>
      <c r="K160" s="978"/>
      <c r="L160" s="978"/>
      <c r="M160" s="979"/>
      <c r="N160" s="979"/>
      <c r="O160" s="978"/>
      <c r="P160" s="978"/>
      <c r="Q160" s="979"/>
      <c r="R160" s="978"/>
      <c r="S160" s="978"/>
      <c r="T160" s="979"/>
      <c r="U160" s="978"/>
      <c r="V160" s="978"/>
    </row>
    <row r="161" spans="1:22" s="661" customFormat="1" ht="14.25" customHeight="1">
      <c r="A161" s="950"/>
      <c r="B161" s="971"/>
      <c r="C161" s="960"/>
      <c r="D161" s="961"/>
      <c r="E161" s="961"/>
      <c r="F161" s="961"/>
      <c r="G161" s="660" t="s">
        <v>421</v>
      </c>
      <c r="H161" s="660" t="s">
        <v>421</v>
      </c>
      <c r="I161" s="979"/>
      <c r="J161" s="979"/>
      <c r="K161" s="978"/>
      <c r="L161" s="978"/>
      <c r="M161" s="979"/>
      <c r="N161" s="979"/>
      <c r="O161" s="978"/>
      <c r="P161" s="978"/>
      <c r="Q161" s="979"/>
      <c r="R161" s="978"/>
      <c r="S161" s="978"/>
      <c r="T161" s="979"/>
      <c r="U161" s="978"/>
      <c r="V161" s="978"/>
    </row>
    <row r="162" spans="1:22" s="661" customFormat="1" ht="14.25" customHeight="1">
      <c r="A162" s="950"/>
      <c r="B162" s="971"/>
      <c r="C162" s="960"/>
      <c r="D162" s="961"/>
      <c r="E162" s="961"/>
      <c r="F162" s="961"/>
      <c r="G162" s="660" t="s">
        <v>421</v>
      </c>
      <c r="H162" s="660" t="s">
        <v>421</v>
      </c>
      <c r="I162" s="979"/>
      <c r="J162" s="979"/>
      <c r="K162" s="978"/>
      <c r="L162" s="978"/>
      <c r="M162" s="979"/>
      <c r="N162" s="979"/>
      <c r="O162" s="978"/>
      <c r="P162" s="978"/>
      <c r="Q162" s="979"/>
      <c r="R162" s="978"/>
      <c r="S162" s="978"/>
      <c r="T162" s="979"/>
      <c r="U162" s="978"/>
      <c r="V162" s="978"/>
    </row>
    <row r="163" spans="1:22" s="661" customFormat="1" ht="14.25" customHeight="1">
      <c r="A163" s="950">
        <v>4</v>
      </c>
      <c r="B163" s="971" t="s">
        <v>877</v>
      </c>
      <c r="C163" s="960" t="s">
        <v>878</v>
      </c>
      <c r="D163" s="961" t="s">
        <v>851</v>
      </c>
      <c r="E163" s="961" t="s">
        <v>880</v>
      </c>
      <c r="F163" s="961" t="s">
        <v>421</v>
      </c>
      <c r="G163" s="660" t="s">
        <v>421</v>
      </c>
      <c r="H163" s="660" t="s">
        <v>421</v>
      </c>
      <c r="I163" s="979">
        <f>J163+M163</f>
        <v>651000</v>
      </c>
      <c r="J163" s="979">
        <f>K163+L163</f>
        <v>0</v>
      </c>
      <c r="K163" s="978">
        <v>0</v>
      </c>
      <c r="L163" s="978">
        <v>0</v>
      </c>
      <c r="M163" s="979">
        <f>N163+Q163+T163</f>
        <v>651000</v>
      </c>
      <c r="N163" s="979">
        <f>O163+P163</f>
        <v>651000</v>
      </c>
      <c r="O163" s="978">
        <v>651000</v>
      </c>
      <c r="P163" s="978">
        <v>0</v>
      </c>
      <c r="Q163" s="979">
        <f>R163+S163</f>
        <v>0</v>
      </c>
      <c r="R163" s="978">
        <v>0</v>
      </c>
      <c r="S163" s="978">
        <v>0</v>
      </c>
      <c r="T163" s="979">
        <f>U163+V163</f>
        <v>0</v>
      </c>
      <c r="U163" s="978">
        <v>0</v>
      </c>
      <c r="V163" s="978">
        <v>0</v>
      </c>
    </row>
    <row r="164" spans="1:22" s="661" customFormat="1" ht="14.25" customHeight="1">
      <c r="A164" s="950"/>
      <c r="B164" s="971"/>
      <c r="C164" s="960"/>
      <c r="D164" s="961"/>
      <c r="E164" s="961"/>
      <c r="F164" s="961"/>
      <c r="G164" s="660" t="s">
        <v>421</v>
      </c>
      <c r="H164" s="660" t="s">
        <v>421</v>
      </c>
      <c r="I164" s="979"/>
      <c r="J164" s="979"/>
      <c r="K164" s="978"/>
      <c r="L164" s="978"/>
      <c r="M164" s="979"/>
      <c r="N164" s="979"/>
      <c r="O164" s="978"/>
      <c r="P164" s="978"/>
      <c r="Q164" s="979"/>
      <c r="R164" s="978"/>
      <c r="S164" s="978"/>
      <c r="T164" s="979"/>
      <c r="U164" s="978"/>
      <c r="V164" s="978"/>
    </row>
    <row r="165" spans="1:22" s="661" customFormat="1" ht="14.25" customHeight="1">
      <c r="A165" s="950"/>
      <c r="B165" s="971"/>
      <c r="C165" s="960"/>
      <c r="D165" s="961"/>
      <c r="E165" s="961"/>
      <c r="F165" s="961"/>
      <c r="G165" s="660" t="s">
        <v>421</v>
      </c>
      <c r="H165" s="660" t="s">
        <v>421</v>
      </c>
      <c r="I165" s="979"/>
      <c r="J165" s="979"/>
      <c r="K165" s="978"/>
      <c r="L165" s="978"/>
      <c r="M165" s="979"/>
      <c r="N165" s="979"/>
      <c r="O165" s="978"/>
      <c r="P165" s="978"/>
      <c r="Q165" s="979"/>
      <c r="R165" s="978"/>
      <c r="S165" s="978"/>
      <c r="T165" s="979"/>
      <c r="U165" s="978"/>
      <c r="V165" s="978"/>
    </row>
    <row r="166" spans="1:22" s="661" customFormat="1" ht="14.25" customHeight="1">
      <c r="A166" s="950"/>
      <c r="B166" s="971"/>
      <c r="C166" s="960"/>
      <c r="D166" s="961"/>
      <c r="E166" s="961"/>
      <c r="F166" s="961"/>
      <c r="G166" s="660" t="s">
        <v>421</v>
      </c>
      <c r="H166" s="660" t="s">
        <v>421</v>
      </c>
      <c r="I166" s="979"/>
      <c r="J166" s="979"/>
      <c r="K166" s="978"/>
      <c r="L166" s="978"/>
      <c r="M166" s="979"/>
      <c r="N166" s="979"/>
      <c r="O166" s="978"/>
      <c r="P166" s="978"/>
      <c r="Q166" s="979"/>
      <c r="R166" s="978"/>
      <c r="S166" s="978"/>
      <c r="T166" s="979"/>
      <c r="U166" s="978"/>
      <c r="V166" s="978"/>
    </row>
    <row r="167" spans="1:22" s="661" customFormat="1" ht="14.25" customHeight="1">
      <c r="A167" s="950"/>
      <c r="B167" s="971"/>
      <c r="C167" s="960"/>
      <c r="D167" s="961"/>
      <c r="E167" s="961"/>
      <c r="F167" s="961"/>
      <c r="G167" s="660" t="s">
        <v>421</v>
      </c>
      <c r="H167" s="660" t="s">
        <v>421</v>
      </c>
      <c r="I167" s="979"/>
      <c r="J167" s="979"/>
      <c r="K167" s="978"/>
      <c r="L167" s="978"/>
      <c r="M167" s="979"/>
      <c r="N167" s="979"/>
      <c r="O167" s="978"/>
      <c r="P167" s="978"/>
      <c r="Q167" s="979"/>
      <c r="R167" s="978"/>
      <c r="S167" s="978"/>
      <c r="T167" s="979"/>
      <c r="U167" s="978"/>
      <c r="V167" s="978"/>
    </row>
    <row r="168" spans="1:22" s="663" customFormat="1">
      <c r="A168" s="980" t="s">
        <v>807</v>
      </c>
      <c r="B168" s="981"/>
      <c r="C168" s="981"/>
      <c r="D168" s="981"/>
      <c r="E168" s="981"/>
      <c r="F168" s="982"/>
      <c r="G168" s="662" t="s">
        <v>421</v>
      </c>
      <c r="H168" s="662" t="s">
        <v>421</v>
      </c>
      <c r="I168" s="988">
        <f>I148+I153+I158+I163</f>
        <v>3652054</v>
      </c>
      <c r="J168" s="988">
        <f t="shared" ref="J168:V168" si="4">J148+J153+J158+J163</f>
        <v>0</v>
      </c>
      <c r="K168" s="988">
        <f t="shared" si="4"/>
        <v>0</v>
      </c>
      <c r="L168" s="988">
        <f t="shared" si="4"/>
        <v>0</v>
      </c>
      <c r="M168" s="988">
        <f t="shared" si="4"/>
        <v>3652054</v>
      </c>
      <c r="N168" s="988">
        <f t="shared" si="4"/>
        <v>3652054</v>
      </c>
      <c r="O168" s="988">
        <f t="shared" si="4"/>
        <v>2494054</v>
      </c>
      <c r="P168" s="988">
        <f t="shared" si="4"/>
        <v>1158000</v>
      </c>
      <c r="Q168" s="988">
        <f t="shared" si="4"/>
        <v>0</v>
      </c>
      <c r="R168" s="988">
        <f t="shared" si="4"/>
        <v>0</v>
      </c>
      <c r="S168" s="988">
        <f t="shared" si="4"/>
        <v>0</v>
      </c>
      <c r="T168" s="988">
        <f t="shared" si="4"/>
        <v>0</v>
      </c>
      <c r="U168" s="988">
        <f t="shared" si="4"/>
        <v>0</v>
      </c>
      <c r="V168" s="988">
        <f t="shared" si="4"/>
        <v>0</v>
      </c>
    </row>
    <row r="169" spans="1:22" s="663" customFormat="1">
      <c r="A169" s="983"/>
      <c r="B169" s="933"/>
      <c r="C169" s="933"/>
      <c r="D169" s="933"/>
      <c r="E169" s="933"/>
      <c r="F169" s="984"/>
      <c r="G169" s="662" t="s">
        <v>421</v>
      </c>
      <c r="H169" s="662" t="s">
        <v>421</v>
      </c>
      <c r="I169" s="988"/>
      <c r="J169" s="988"/>
      <c r="K169" s="988"/>
      <c r="L169" s="988"/>
      <c r="M169" s="988"/>
      <c r="N169" s="988"/>
      <c r="O169" s="988"/>
      <c r="P169" s="988"/>
      <c r="Q169" s="988"/>
      <c r="R169" s="988"/>
      <c r="S169" s="988"/>
      <c r="T169" s="988"/>
      <c r="U169" s="988"/>
      <c r="V169" s="988"/>
    </row>
    <row r="170" spans="1:22" s="663" customFormat="1">
      <c r="A170" s="983"/>
      <c r="B170" s="933"/>
      <c r="C170" s="933"/>
      <c r="D170" s="933"/>
      <c r="E170" s="933"/>
      <c r="F170" s="984"/>
      <c r="G170" s="662" t="s">
        <v>421</v>
      </c>
      <c r="H170" s="662" t="s">
        <v>421</v>
      </c>
      <c r="I170" s="988"/>
      <c r="J170" s="988"/>
      <c r="K170" s="988"/>
      <c r="L170" s="988"/>
      <c r="M170" s="988"/>
      <c r="N170" s="988"/>
      <c r="O170" s="988"/>
      <c r="P170" s="988"/>
      <c r="Q170" s="988"/>
      <c r="R170" s="988"/>
      <c r="S170" s="988"/>
      <c r="T170" s="988"/>
      <c r="U170" s="988"/>
      <c r="V170" s="988"/>
    </row>
    <row r="171" spans="1:22" s="663" customFormat="1">
      <c r="A171" s="983"/>
      <c r="B171" s="933"/>
      <c r="C171" s="933"/>
      <c r="D171" s="933"/>
      <c r="E171" s="933"/>
      <c r="F171" s="984"/>
      <c r="G171" s="662" t="s">
        <v>421</v>
      </c>
      <c r="H171" s="662" t="s">
        <v>421</v>
      </c>
      <c r="I171" s="988"/>
      <c r="J171" s="988"/>
      <c r="K171" s="988"/>
      <c r="L171" s="988"/>
      <c r="M171" s="988"/>
      <c r="N171" s="988"/>
      <c r="O171" s="988"/>
      <c r="P171" s="988"/>
      <c r="Q171" s="988"/>
      <c r="R171" s="988"/>
      <c r="S171" s="988"/>
      <c r="T171" s="988"/>
      <c r="U171" s="988"/>
      <c r="V171" s="988"/>
    </row>
    <row r="172" spans="1:22" s="663" customFormat="1">
      <c r="A172" s="985"/>
      <c r="B172" s="986"/>
      <c r="C172" s="986"/>
      <c r="D172" s="986"/>
      <c r="E172" s="986"/>
      <c r="F172" s="987"/>
      <c r="G172" s="662" t="s">
        <v>421</v>
      </c>
      <c r="H172" s="662" t="s">
        <v>421</v>
      </c>
      <c r="I172" s="988"/>
      <c r="J172" s="988"/>
      <c r="K172" s="988"/>
      <c r="L172" s="988"/>
      <c r="M172" s="988"/>
      <c r="N172" s="988"/>
      <c r="O172" s="988"/>
      <c r="P172" s="988"/>
      <c r="Q172" s="988"/>
      <c r="R172" s="988"/>
      <c r="S172" s="988"/>
      <c r="T172" s="988"/>
      <c r="U172" s="988"/>
      <c r="V172" s="988"/>
    </row>
    <row r="173" spans="1:22" s="663" customFormat="1" ht="19.5" customHeight="1">
      <c r="A173" s="989" t="s">
        <v>779</v>
      </c>
      <c r="B173" s="990"/>
      <c r="C173" s="990"/>
      <c r="D173" s="990"/>
      <c r="E173" s="990"/>
      <c r="F173" s="991"/>
      <c r="G173" s="662">
        <f>G140+G102</f>
        <v>439236898</v>
      </c>
      <c r="H173" s="662">
        <f>H140+H102</f>
        <v>1564663</v>
      </c>
      <c r="I173" s="988">
        <f>I168+I140+I102</f>
        <v>240260640</v>
      </c>
      <c r="J173" s="988">
        <f t="shared" ref="J173:V173" si="5">J168+J140+J102</f>
        <v>204262293</v>
      </c>
      <c r="K173" s="988">
        <f t="shared" si="5"/>
        <v>87850101</v>
      </c>
      <c r="L173" s="988">
        <f t="shared" si="5"/>
        <v>116412192</v>
      </c>
      <c r="M173" s="988">
        <f t="shared" si="5"/>
        <v>35998347</v>
      </c>
      <c r="N173" s="988">
        <f t="shared" si="5"/>
        <v>17937000</v>
      </c>
      <c r="O173" s="988">
        <f t="shared" si="5"/>
        <v>5400065</v>
      </c>
      <c r="P173" s="988">
        <f t="shared" si="5"/>
        <v>12536935</v>
      </c>
      <c r="Q173" s="988">
        <f t="shared" si="5"/>
        <v>18061347</v>
      </c>
      <c r="R173" s="988">
        <f t="shared" si="5"/>
        <v>10897843</v>
      </c>
      <c r="S173" s="988">
        <f t="shared" si="5"/>
        <v>7163504</v>
      </c>
      <c r="T173" s="988">
        <f t="shared" si="5"/>
        <v>0</v>
      </c>
      <c r="U173" s="988">
        <f t="shared" si="5"/>
        <v>0</v>
      </c>
      <c r="V173" s="988">
        <f t="shared" si="5"/>
        <v>0</v>
      </c>
    </row>
    <row r="174" spans="1:22" s="663" customFormat="1" ht="19.5" customHeight="1">
      <c r="A174" s="992"/>
      <c r="B174" s="993"/>
      <c r="C174" s="993"/>
      <c r="D174" s="993"/>
      <c r="E174" s="993"/>
      <c r="F174" s="994"/>
      <c r="G174" s="662">
        <f t="shared" ref="G174:H177" si="6">G141+G103</f>
        <v>380043378</v>
      </c>
      <c r="H174" s="662">
        <f t="shared" si="6"/>
        <v>1384803</v>
      </c>
      <c r="I174" s="988"/>
      <c r="J174" s="988"/>
      <c r="K174" s="988"/>
      <c r="L174" s="988"/>
      <c r="M174" s="988"/>
      <c r="N174" s="988"/>
      <c r="O174" s="988"/>
      <c r="P174" s="988"/>
      <c r="Q174" s="988"/>
      <c r="R174" s="988"/>
      <c r="S174" s="988"/>
      <c r="T174" s="988"/>
      <c r="U174" s="988"/>
      <c r="V174" s="988"/>
    </row>
    <row r="175" spans="1:22" s="663" customFormat="1" ht="19.5" customHeight="1">
      <c r="A175" s="992"/>
      <c r="B175" s="993"/>
      <c r="C175" s="993"/>
      <c r="D175" s="993"/>
      <c r="E175" s="993"/>
      <c r="F175" s="994"/>
      <c r="G175" s="662">
        <f t="shared" si="6"/>
        <v>23418375</v>
      </c>
      <c r="H175" s="662">
        <f t="shared" si="6"/>
        <v>152268</v>
      </c>
      <c r="I175" s="988"/>
      <c r="J175" s="988"/>
      <c r="K175" s="988"/>
      <c r="L175" s="988"/>
      <c r="M175" s="988"/>
      <c r="N175" s="988"/>
      <c r="O175" s="988"/>
      <c r="P175" s="988"/>
      <c r="Q175" s="988"/>
      <c r="R175" s="988"/>
      <c r="S175" s="988"/>
      <c r="T175" s="988"/>
      <c r="U175" s="988"/>
      <c r="V175" s="988"/>
    </row>
    <row r="176" spans="1:22" s="663" customFormat="1" ht="19.5" customHeight="1">
      <c r="A176" s="992"/>
      <c r="B176" s="993"/>
      <c r="C176" s="993"/>
      <c r="D176" s="993"/>
      <c r="E176" s="993"/>
      <c r="F176" s="994"/>
      <c r="G176" s="662">
        <f t="shared" si="6"/>
        <v>35775145</v>
      </c>
      <c r="H176" s="662">
        <f t="shared" si="6"/>
        <v>27592</v>
      </c>
      <c r="I176" s="988"/>
      <c r="J176" s="988"/>
      <c r="K176" s="988"/>
      <c r="L176" s="988"/>
      <c r="M176" s="988"/>
      <c r="N176" s="988"/>
      <c r="O176" s="988"/>
      <c r="P176" s="988"/>
      <c r="Q176" s="988"/>
      <c r="R176" s="988"/>
      <c r="S176" s="988"/>
      <c r="T176" s="988"/>
      <c r="U176" s="988"/>
      <c r="V176" s="988"/>
    </row>
    <row r="177" spans="1:22" s="663" customFormat="1" ht="19.5" customHeight="1">
      <c r="A177" s="995"/>
      <c r="B177" s="996"/>
      <c r="C177" s="996"/>
      <c r="D177" s="996"/>
      <c r="E177" s="996"/>
      <c r="F177" s="997"/>
      <c r="G177" s="662">
        <f t="shared" si="6"/>
        <v>0</v>
      </c>
      <c r="H177" s="662">
        <f t="shared" si="6"/>
        <v>0</v>
      </c>
      <c r="I177" s="988"/>
      <c r="J177" s="988"/>
      <c r="K177" s="988"/>
      <c r="L177" s="988"/>
      <c r="M177" s="988"/>
      <c r="N177" s="988"/>
      <c r="O177" s="988"/>
      <c r="P177" s="988"/>
      <c r="Q177" s="988"/>
      <c r="R177" s="988"/>
      <c r="S177" s="988"/>
      <c r="T177" s="988"/>
      <c r="U177" s="988"/>
      <c r="V177" s="988"/>
    </row>
    <row r="178" spans="1:22">
      <c r="G178" s="665"/>
    </row>
    <row r="179" spans="1:22">
      <c r="G179" s="665"/>
    </row>
    <row r="180" spans="1:22">
      <c r="G180" s="665"/>
    </row>
    <row r="181" spans="1:22">
      <c r="G181" s="665"/>
    </row>
    <row r="182" spans="1:22">
      <c r="G182" s="665"/>
    </row>
    <row r="183" spans="1:22">
      <c r="G183" s="665"/>
    </row>
    <row r="184" spans="1:22">
      <c r="G184" s="665"/>
    </row>
    <row r="185" spans="1:22">
      <c r="G185" s="665"/>
    </row>
    <row r="186" spans="1:22">
      <c r="G186" s="665"/>
    </row>
    <row r="187" spans="1:22">
      <c r="G187" s="665"/>
    </row>
    <row r="188" spans="1:22">
      <c r="G188" s="665"/>
    </row>
    <row r="189" spans="1:22">
      <c r="G189" s="665"/>
    </row>
    <row r="190" spans="1:22">
      <c r="G190" s="665"/>
    </row>
    <row r="191" spans="1:22">
      <c r="G191" s="665"/>
    </row>
    <row r="192" spans="1:22">
      <c r="G192" s="665"/>
    </row>
    <row r="193" spans="7:7">
      <c r="G193" s="665"/>
    </row>
    <row r="194" spans="7:7">
      <c r="G194" s="665"/>
    </row>
    <row r="195" spans="7:7">
      <c r="G195" s="665"/>
    </row>
    <row r="196" spans="7:7">
      <c r="G196" s="665"/>
    </row>
    <row r="197" spans="7:7">
      <c r="G197" s="665"/>
    </row>
    <row r="198" spans="7:7">
      <c r="G198" s="665"/>
    </row>
    <row r="199" spans="7:7">
      <c r="G199" s="665"/>
    </row>
    <row r="200" spans="7:7">
      <c r="G200" s="665"/>
    </row>
    <row r="201" spans="7:7">
      <c r="G201" s="665"/>
    </row>
    <row r="202" spans="7:7">
      <c r="G202" s="665"/>
    </row>
    <row r="203" spans="7:7">
      <c r="G203" s="665"/>
    </row>
    <row r="204" spans="7:7">
      <c r="G204" s="665"/>
    </row>
    <row r="205" spans="7:7">
      <c r="G205" s="665"/>
    </row>
    <row r="206" spans="7:7">
      <c r="G206" s="665"/>
    </row>
    <row r="207" spans="7:7">
      <c r="G207" s="665"/>
    </row>
    <row r="208" spans="7:7">
      <c r="G208" s="665"/>
    </row>
    <row r="209" spans="7:7">
      <c r="G209" s="665"/>
    </row>
    <row r="210" spans="7:7">
      <c r="G210" s="665"/>
    </row>
    <row r="211" spans="7:7">
      <c r="G211" s="665"/>
    </row>
    <row r="212" spans="7:7">
      <c r="G212" s="665"/>
    </row>
  </sheetData>
  <sheetProtection algorithmName="SHA-512" hashValue="B+6GH11dvt+fQk2Guw9gSy340cn0zjV93pu7a2Bts71NvLztJTCrp/Il4u+LyleZQBk/dCzIEnhSujhstsUNZg==" saltValue="F/mvwOIC6Z8KbIIzMqij1Q==" spinCount="100000" sheet="1" objects="1" scenarios="1"/>
  <mergeCells count="638">
    <mergeCell ref="U173:U177"/>
    <mergeCell ref="V173:V177"/>
    <mergeCell ref="O173:O177"/>
    <mergeCell ref="P173:P177"/>
    <mergeCell ref="Q173:Q177"/>
    <mergeCell ref="R173:R177"/>
    <mergeCell ref="S173:S177"/>
    <mergeCell ref="T173:T177"/>
    <mergeCell ref="T168:T172"/>
    <mergeCell ref="U168:U172"/>
    <mergeCell ref="V168:V172"/>
    <mergeCell ref="P168:P172"/>
    <mergeCell ref="Q168:Q172"/>
    <mergeCell ref="R168:R172"/>
    <mergeCell ref="S168:S172"/>
    <mergeCell ref="A173:F177"/>
    <mergeCell ref="I173:I177"/>
    <mergeCell ref="J173:J177"/>
    <mergeCell ref="K173:K177"/>
    <mergeCell ref="L173:L177"/>
    <mergeCell ref="M173:M177"/>
    <mergeCell ref="N173:N177"/>
    <mergeCell ref="N168:N172"/>
    <mergeCell ref="O168:O172"/>
    <mergeCell ref="A168:F172"/>
    <mergeCell ref="I168:I172"/>
    <mergeCell ref="J168:J172"/>
    <mergeCell ref="K168:K172"/>
    <mergeCell ref="L168:L172"/>
    <mergeCell ref="M168:M172"/>
    <mergeCell ref="R163:R167"/>
    <mergeCell ref="S163:S167"/>
    <mergeCell ref="T163:T167"/>
    <mergeCell ref="U163:U167"/>
    <mergeCell ref="V163:V167"/>
    <mergeCell ref="K163:K167"/>
    <mergeCell ref="L163:L167"/>
    <mergeCell ref="M163:M167"/>
    <mergeCell ref="N163:N167"/>
    <mergeCell ref="O163:O167"/>
    <mergeCell ref="P163:P167"/>
    <mergeCell ref="V158:V162"/>
    <mergeCell ref="A163:A167"/>
    <mergeCell ref="B163:B167"/>
    <mergeCell ref="C163:C167"/>
    <mergeCell ref="D163:D167"/>
    <mergeCell ref="E163:E167"/>
    <mergeCell ref="F163:F167"/>
    <mergeCell ref="I163:I167"/>
    <mergeCell ref="J163:J167"/>
    <mergeCell ref="O158:O162"/>
    <mergeCell ref="P158:P162"/>
    <mergeCell ref="Q158:Q162"/>
    <mergeCell ref="R158:R162"/>
    <mergeCell ref="S158:S162"/>
    <mergeCell ref="T158:T162"/>
    <mergeCell ref="I158:I162"/>
    <mergeCell ref="J158:J162"/>
    <mergeCell ref="K158:K162"/>
    <mergeCell ref="L158:L162"/>
    <mergeCell ref="M158:M162"/>
    <mergeCell ref="N158:N162"/>
    <mergeCell ref="A158:A162"/>
    <mergeCell ref="B158:B162"/>
    <mergeCell ref="Q163:Q167"/>
    <mergeCell ref="C158:C162"/>
    <mergeCell ref="D158:D162"/>
    <mergeCell ref="E158:E162"/>
    <mergeCell ref="F158:F162"/>
    <mergeCell ref="Q153:Q157"/>
    <mergeCell ref="R153:R157"/>
    <mergeCell ref="S153:S157"/>
    <mergeCell ref="T153:T157"/>
    <mergeCell ref="U153:U157"/>
    <mergeCell ref="U158:U162"/>
    <mergeCell ref="V153:V157"/>
    <mergeCell ref="K153:K157"/>
    <mergeCell ref="L153:L157"/>
    <mergeCell ref="M153:M157"/>
    <mergeCell ref="N153:N157"/>
    <mergeCell ref="O153:O157"/>
    <mergeCell ref="P153:P157"/>
    <mergeCell ref="U148:U152"/>
    <mergeCell ref="V148:V152"/>
    <mergeCell ref="P148:P152"/>
    <mergeCell ref="Q148:Q152"/>
    <mergeCell ref="R148:R152"/>
    <mergeCell ref="S148:S152"/>
    <mergeCell ref="T148:T152"/>
    <mergeCell ref="A153:A157"/>
    <mergeCell ref="B153:B157"/>
    <mergeCell ref="C153:C157"/>
    <mergeCell ref="D153:D157"/>
    <mergeCell ref="E153:E157"/>
    <mergeCell ref="F153:F157"/>
    <mergeCell ref="I153:I157"/>
    <mergeCell ref="J153:J157"/>
    <mergeCell ref="O148:O152"/>
    <mergeCell ref="I148:I152"/>
    <mergeCell ref="J148:J152"/>
    <mergeCell ref="K148:K152"/>
    <mergeCell ref="L148:L152"/>
    <mergeCell ref="M148:M152"/>
    <mergeCell ref="N148:N152"/>
    <mergeCell ref="A148:A152"/>
    <mergeCell ref="B148:B152"/>
    <mergeCell ref="C148:C152"/>
    <mergeCell ref="D148:D152"/>
    <mergeCell ref="E148:E152"/>
    <mergeCell ref="F148:F152"/>
    <mergeCell ref="T140:T144"/>
    <mergeCell ref="U140:U144"/>
    <mergeCell ref="V140:V144"/>
    <mergeCell ref="A145:V145"/>
    <mergeCell ref="A146:V146"/>
    <mergeCell ref="A147:V147"/>
    <mergeCell ref="N140:N144"/>
    <mergeCell ref="O140:O144"/>
    <mergeCell ref="P140:P144"/>
    <mergeCell ref="Q140:Q144"/>
    <mergeCell ref="R140:R144"/>
    <mergeCell ref="S140:S144"/>
    <mergeCell ref="A140:F144"/>
    <mergeCell ref="I140:I144"/>
    <mergeCell ref="J140:J144"/>
    <mergeCell ref="K140:K144"/>
    <mergeCell ref="L140:L144"/>
    <mergeCell ref="M140:M144"/>
    <mergeCell ref="R135:R139"/>
    <mergeCell ref="S135:S139"/>
    <mergeCell ref="T135:T139"/>
    <mergeCell ref="U135:U139"/>
    <mergeCell ref="V135:V139"/>
    <mergeCell ref="K135:K139"/>
    <mergeCell ref="L135:L139"/>
    <mergeCell ref="M135:M139"/>
    <mergeCell ref="N135:N139"/>
    <mergeCell ref="O135:O139"/>
    <mergeCell ref="P135:P139"/>
    <mergeCell ref="V130:V134"/>
    <mergeCell ref="A135:A139"/>
    <mergeCell ref="B135:B139"/>
    <mergeCell ref="C135:C139"/>
    <mergeCell ref="D135:D139"/>
    <mergeCell ref="E135:E139"/>
    <mergeCell ref="F135:F139"/>
    <mergeCell ref="I135:I139"/>
    <mergeCell ref="J135:J139"/>
    <mergeCell ref="O130:O134"/>
    <mergeCell ref="P130:P134"/>
    <mergeCell ref="Q130:Q134"/>
    <mergeCell ref="R130:R134"/>
    <mergeCell ref="S130:S134"/>
    <mergeCell ref="T130:T134"/>
    <mergeCell ref="I130:I134"/>
    <mergeCell ref="J130:J134"/>
    <mergeCell ref="K130:K134"/>
    <mergeCell ref="L130:L134"/>
    <mergeCell ref="M130:M134"/>
    <mergeCell ref="N130:N134"/>
    <mergeCell ref="A130:A134"/>
    <mergeCell ref="B130:B134"/>
    <mergeCell ref="Q135:Q139"/>
    <mergeCell ref="C130:C134"/>
    <mergeCell ref="D130:D134"/>
    <mergeCell ref="E130:E134"/>
    <mergeCell ref="F130:F134"/>
    <mergeCell ref="Q125:Q129"/>
    <mergeCell ref="R125:R129"/>
    <mergeCell ref="S125:S129"/>
    <mergeCell ref="T125:T129"/>
    <mergeCell ref="U125:U129"/>
    <mergeCell ref="U130:U134"/>
    <mergeCell ref="V125:V129"/>
    <mergeCell ref="K125:K129"/>
    <mergeCell ref="L125:L129"/>
    <mergeCell ref="M125:M129"/>
    <mergeCell ref="N125:N129"/>
    <mergeCell ref="O125:O129"/>
    <mergeCell ref="P125:P129"/>
    <mergeCell ref="U120:U124"/>
    <mergeCell ref="V120:V124"/>
    <mergeCell ref="P120:P124"/>
    <mergeCell ref="Q120:Q124"/>
    <mergeCell ref="R120:R124"/>
    <mergeCell ref="S120:S124"/>
    <mergeCell ref="T120:T124"/>
    <mergeCell ref="A125:A129"/>
    <mergeCell ref="B125:B129"/>
    <mergeCell ref="C125:C129"/>
    <mergeCell ref="D125:D129"/>
    <mergeCell ref="E125:E129"/>
    <mergeCell ref="F125:F129"/>
    <mergeCell ref="I125:I129"/>
    <mergeCell ref="J125:J129"/>
    <mergeCell ref="O120:O124"/>
    <mergeCell ref="I120:I124"/>
    <mergeCell ref="J120:J124"/>
    <mergeCell ref="K120:K124"/>
    <mergeCell ref="L120:L124"/>
    <mergeCell ref="M120:M124"/>
    <mergeCell ref="N120:N124"/>
    <mergeCell ref="A120:A124"/>
    <mergeCell ref="B120:B124"/>
    <mergeCell ref="C120:C124"/>
    <mergeCell ref="D120:D124"/>
    <mergeCell ref="E120:E124"/>
    <mergeCell ref="F120:F124"/>
    <mergeCell ref="Q115:Q119"/>
    <mergeCell ref="R115:R119"/>
    <mergeCell ref="S115:S119"/>
    <mergeCell ref="T115:T119"/>
    <mergeCell ref="U115:U119"/>
    <mergeCell ref="V115:V119"/>
    <mergeCell ref="K115:K119"/>
    <mergeCell ref="L115:L119"/>
    <mergeCell ref="M115:M119"/>
    <mergeCell ref="N115:N119"/>
    <mergeCell ref="O115:O119"/>
    <mergeCell ref="P115:P119"/>
    <mergeCell ref="P102:P106"/>
    <mergeCell ref="Q102:Q106"/>
    <mergeCell ref="R102:R106"/>
    <mergeCell ref="S102:S106"/>
    <mergeCell ref="T102:T106"/>
    <mergeCell ref="U102:U106"/>
    <mergeCell ref="U110:U114"/>
    <mergeCell ref="V110:V114"/>
    <mergeCell ref="A115:A119"/>
    <mergeCell ref="B115:B119"/>
    <mergeCell ref="C115:C119"/>
    <mergeCell ref="D115:D119"/>
    <mergeCell ref="E115:E119"/>
    <mergeCell ref="F115:F119"/>
    <mergeCell ref="I115:I119"/>
    <mergeCell ref="J115:J119"/>
    <mergeCell ref="O110:O114"/>
    <mergeCell ref="P110:P114"/>
    <mergeCell ref="Q110:Q114"/>
    <mergeCell ref="R110:R114"/>
    <mergeCell ref="S110:S114"/>
    <mergeCell ref="T110:T114"/>
    <mergeCell ref="I110:I114"/>
    <mergeCell ref="J110:J114"/>
    <mergeCell ref="A107:V107"/>
    <mergeCell ref="A108:V108"/>
    <mergeCell ref="A109:V109"/>
    <mergeCell ref="A110:A114"/>
    <mergeCell ref="B110:B114"/>
    <mergeCell ref="C110:C114"/>
    <mergeCell ref="D110:D114"/>
    <mergeCell ref="E110:E114"/>
    <mergeCell ref="F110:F114"/>
    <mergeCell ref="K110:K114"/>
    <mergeCell ref="L110:L114"/>
    <mergeCell ref="M110:M114"/>
    <mergeCell ref="N110:N114"/>
    <mergeCell ref="V97:V101"/>
    <mergeCell ref="A102:F106"/>
    <mergeCell ref="I102:I106"/>
    <mergeCell ref="J102:J106"/>
    <mergeCell ref="K102:K106"/>
    <mergeCell ref="L102:L106"/>
    <mergeCell ref="M102:M106"/>
    <mergeCell ref="N102:N106"/>
    <mergeCell ref="O102:O106"/>
    <mergeCell ref="O97:O101"/>
    <mergeCell ref="P97:P101"/>
    <mergeCell ref="Q97:Q101"/>
    <mergeCell ref="R97:R101"/>
    <mergeCell ref="S97:S101"/>
    <mergeCell ref="T97:T101"/>
    <mergeCell ref="I97:I101"/>
    <mergeCell ref="J97:J101"/>
    <mergeCell ref="K97:K101"/>
    <mergeCell ref="L97:L101"/>
    <mergeCell ref="M97:M101"/>
    <mergeCell ref="N97:N101"/>
    <mergeCell ref="A97:A101"/>
    <mergeCell ref="B97:B101"/>
    <mergeCell ref="V102:V106"/>
    <mergeCell ref="C97:C101"/>
    <mergeCell ref="D97:D101"/>
    <mergeCell ref="E97:E101"/>
    <mergeCell ref="F97:F101"/>
    <mergeCell ref="Q92:Q96"/>
    <mergeCell ref="R92:R96"/>
    <mergeCell ref="S92:S96"/>
    <mergeCell ref="T92:T96"/>
    <mergeCell ref="U92:U96"/>
    <mergeCell ref="U97:U101"/>
    <mergeCell ref="V92:V96"/>
    <mergeCell ref="K92:K96"/>
    <mergeCell ref="L92:L96"/>
    <mergeCell ref="M92:M96"/>
    <mergeCell ref="N92:N96"/>
    <mergeCell ref="O92:O96"/>
    <mergeCell ref="P92:P96"/>
    <mergeCell ref="U87:U91"/>
    <mergeCell ref="V87:V91"/>
    <mergeCell ref="P87:P91"/>
    <mergeCell ref="Q87:Q91"/>
    <mergeCell ref="R87:R91"/>
    <mergeCell ref="S87:S91"/>
    <mergeCell ref="T87:T91"/>
    <mergeCell ref="A92:A96"/>
    <mergeCell ref="B92:B96"/>
    <mergeCell ref="C92:C96"/>
    <mergeCell ref="D92:D96"/>
    <mergeCell ref="E92:E96"/>
    <mergeCell ref="F92:F96"/>
    <mergeCell ref="I92:I96"/>
    <mergeCell ref="J92:J96"/>
    <mergeCell ref="O87:O91"/>
    <mergeCell ref="I87:I91"/>
    <mergeCell ref="J87:J91"/>
    <mergeCell ref="K87:K91"/>
    <mergeCell ref="L87:L91"/>
    <mergeCell ref="M87:M91"/>
    <mergeCell ref="N87:N91"/>
    <mergeCell ref="A87:A91"/>
    <mergeCell ref="B87:B91"/>
    <mergeCell ref="C87:C91"/>
    <mergeCell ref="D87:D91"/>
    <mergeCell ref="E87:E91"/>
    <mergeCell ref="F87:F91"/>
    <mergeCell ref="R82:R86"/>
    <mergeCell ref="S82:S86"/>
    <mergeCell ref="T82:T86"/>
    <mergeCell ref="U82:U86"/>
    <mergeCell ref="V82:V86"/>
    <mergeCell ref="K82:K86"/>
    <mergeCell ref="L82:L86"/>
    <mergeCell ref="M82:M86"/>
    <mergeCell ref="N82:N86"/>
    <mergeCell ref="O82:O86"/>
    <mergeCell ref="P82:P86"/>
    <mergeCell ref="V77:V81"/>
    <mergeCell ref="A82:A86"/>
    <mergeCell ref="B82:B86"/>
    <mergeCell ref="C82:C86"/>
    <mergeCell ref="D82:D86"/>
    <mergeCell ref="E82:E86"/>
    <mergeCell ref="F82:F86"/>
    <mergeCell ref="I82:I86"/>
    <mergeCell ref="J82:J86"/>
    <mergeCell ref="O77:O81"/>
    <mergeCell ref="P77:P81"/>
    <mergeCell ref="Q77:Q81"/>
    <mergeCell ref="R77:R81"/>
    <mergeCell ref="S77:S81"/>
    <mergeCell ref="T77:T81"/>
    <mergeCell ref="I77:I81"/>
    <mergeCell ref="J77:J81"/>
    <mergeCell ref="K77:K81"/>
    <mergeCell ref="L77:L81"/>
    <mergeCell ref="M77:M81"/>
    <mergeCell ref="N77:N81"/>
    <mergeCell ref="A77:A81"/>
    <mergeCell ref="B77:B81"/>
    <mergeCell ref="Q82:Q86"/>
    <mergeCell ref="C77:C81"/>
    <mergeCell ref="D77:D81"/>
    <mergeCell ref="E77:E81"/>
    <mergeCell ref="F77:F81"/>
    <mergeCell ref="Q72:Q76"/>
    <mergeCell ref="R72:R76"/>
    <mergeCell ref="S72:S76"/>
    <mergeCell ref="T72:T76"/>
    <mergeCell ref="U72:U76"/>
    <mergeCell ref="U77:U81"/>
    <mergeCell ref="V72:V76"/>
    <mergeCell ref="K72:K76"/>
    <mergeCell ref="L72:L76"/>
    <mergeCell ref="M72:M76"/>
    <mergeCell ref="N72:N76"/>
    <mergeCell ref="O72:O76"/>
    <mergeCell ref="P72:P76"/>
    <mergeCell ref="U67:U71"/>
    <mergeCell ref="V67:V71"/>
    <mergeCell ref="P67:P71"/>
    <mergeCell ref="Q67:Q71"/>
    <mergeCell ref="R67:R71"/>
    <mergeCell ref="S67:S71"/>
    <mergeCell ref="T67:T71"/>
    <mergeCell ref="A72:A76"/>
    <mergeCell ref="B72:B76"/>
    <mergeCell ref="C72:C76"/>
    <mergeCell ref="D72:D76"/>
    <mergeCell ref="E72:E76"/>
    <mergeCell ref="F72:F76"/>
    <mergeCell ref="I72:I76"/>
    <mergeCell ref="J72:J76"/>
    <mergeCell ref="O67:O71"/>
    <mergeCell ref="I67:I71"/>
    <mergeCell ref="J67:J71"/>
    <mergeCell ref="K67:K71"/>
    <mergeCell ref="L67:L71"/>
    <mergeCell ref="M67:M71"/>
    <mergeCell ref="N67:N71"/>
    <mergeCell ref="A67:A71"/>
    <mergeCell ref="B67:B71"/>
    <mergeCell ref="C67:C71"/>
    <mergeCell ref="D67:D71"/>
    <mergeCell ref="E67:E71"/>
    <mergeCell ref="F67:F71"/>
    <mergeCell ref="R62:R66"/>
    <mergeCell ref="S62:S66"/>
    <mergeCell ref="T62:T66"/>
    <mergeCell ref="U62:U66"/>
    <mergeCell ref="V62:V66"/>
    <mergeCell ref="K62:K66"/>
    <mergeCell ref="L62:L66"/>
    <mergeCell ref="M62:M66"/>
    <mergeCell ref="N62:N66"/>
    <mergeCell ref="O62:O66"/>
    <mergeCell ref="P62:P66"/>
    <mergeCell ref="V57:V61"/>
    <mergeCell ref="A62:A66"/>
    <mergeCell ref="B62:B66"/>
    <mergeCell ref="C62:C66"/>
    <mergeCell ref="D62:D66"/>
    <mergeCell ref="E62:E66"/>
    <mergeCell ref="F62:F66"/>
    <mergeCell ref="I62:I66"/>
    <mergeCell ref="J62:J66"/>
    <mergeCell ref="O57:O61"/>
    <mergeCell ref="P57:P61"/>
    <mergeCell ref="Q57:Q61"/>
    <mergeCell ref="R57:R61"/>
    <mergeCell ref="S57:S61"/>
    <mergeCell ref="T57:T61"/>
    <mergeCell ref="I57:I61"/>
    <mergeCell ref="J57:J61"/>
    <mergeCell ref="K57:K61"/>
    <mergeCell ref="L57:L61"/>
    <mergeCell ref="M57:M61"/>
    <mergeCell ref="N57:N61"/>
    <mergeCell ref="A57:A61"/>
    <mergeCell ref="B57:B61"/>
    <mergeCell ref="Q62:Q66"/>
    <mergeCell ref="C57:C61"/>
    <mergeCell ref="D57:D61"/>
    <mergeCell ref="E57:E61"/>
    <mergeCell ref="F57:F61"/>
    <mergeCell ref="Q52:Q56"/>
    <mergeCell ref="R52:R56"/>
    <mergeCell ref="S52:S56"/>
    <mergeCell ref="T52:T56"/>
    <mergeCell ref="U52:U56"/>
    <mergeCell ref="U57:U61"/>
    <mergeCell ref="V52:V56"/>
    <mergeCell ref="K52:K56"/>
    <mergeCell ref="L52:L56"/>
    <mergeCell ref="M52:M56"/>
    <mergeCell ref="N52:N56"/>
    <mergeCell ref="O52:O56"/>
    <mergeCell ref="P52:P56"/>
    <mergeCell ref="U47:U51"/>
    <mergeCell ref="V47:V51"/>
    <mergeCell ref="P47:P51"/>
    <mergeCell ref="Q47:Q51"/>
    <mergeCell ref="R47:R51"/>
    <mergeCell ref="S47:S51"/>
    <mergeCell ref="T47:T51"/>
    <mergeCell ref="A52:A56"/>
    <mergeCell ref="B52:B56"/>
    <mergeCell ref="C52:C56"/>
    <mergeCell ref="D52:D56"/>
    <mergeCell ref="E52:E56"/>
    <mergeCell ref="F52:F56"/>
    <mergeCell ref="I52:I56"/>
    <mergeCell ref="J52:J56"/>
    <mergeCell ref="O47:O51"/>
    <mergeCell ref="I47:I51"/>
    <mergeCell ref="J47:J51"/>
    <mergeCell ref="K47:K51"/>
    <mergeCell ref="L47:L51"/>
    <mergeCell ref="M47:M51"/>
    <mergeCell ref="N47:N51"/>
    <mergeCell ref="A47:A51"/>
    <mergeCell ref="B47:B51"/>
    <mergeCell ref="C47:C51"/>
    <mergeCell ref="D47:D51"/>
    <mergeCell ref="E47:E51"/>
    <mergeCell ref="F47:F51"/>
    <mergeCell ref="R42:R46"/>
    <mergeCell ref="S42:S46"/>
    <mergeCell ref="T42:T46"/>
    <mergeCell ref="U42:U46"/>
    <mergeCell ref="V42:V46"/>
    <mergeCell ref="K42:K46"/>
    <mergeCell ref="L42:L46"/>
    <mergeCell ref="M42:M46"/>
    <mergeCell ref="N42:N46"/>
    <mergeCell ref="O42:O46"/>
    <mergeCell ref="P42:P46"/>
    <mergeCell ref="V37:V41"/>
    <mergeCell ref="A42:A46"/>
    <mergeCell ref="B42:B46"/>
    <mergeCell ref="C42:C46"/>
    <mergeCell ref="D42:D46"/>
    <mergeCell ref="E42:E46"/>
    <mergeCell ref="F42:F46"/>
    <mergeCell ref="I42:I46"/>
    <mergeCell ref="J42:J46"/>
    <mergeCell ref="O37:O41"/>
    <mergeCell ref="P37:P41"/>
    <mergeCell ref="Q37:Q41"/>
    <mergeCell ref="R37:R41"/>
    <mergeCell ref="S37:S41"/>
    <mergeCell ref="T37:T41"/>
    <mergeCell ref="I37:I41"/>
    <mergeCell ref="J37:J41"/>
    <mergeCell ref="K37:K41"/>
    <mergeCell ref="L37:L41"/>
    <mergeCell ref="M37:M41"/>
    <mergeCell ref="N37:N41"/>
    <mergeCell ref="A37:A41"/>
    <mergeCell ref="B37:B41"/>
    <mergeCell ref="Q42:Q46"/>
    <mergeCell ref="C37:C41"/>
    <mergeCell ref="D37:D41"/>
    <mergeCell ref="E37:E41"/>
    <mergeCell ref="F37:F41"/>
    <mergeCell ref="Q32:Q36"/>
    <mergeCell ref="R32:R36"/>
    <mergeCell ref="S32:S36"/>
    <mergeCell ref="T32:T36"/>
    <mergeCell ref="U32:U36"/>
    <mergeCell ref="U37:U41"/>
    <mergeCell ref="V32:V36"/>
    <mergeCell ref="K32:K36"/>
    <mergeCell ref="L32:L36"/>
    <mergeCell ref="M32:M36"/>
    <mergeCell ref="N32:N36"/>
    <mergeCell ref="O32:O36"/>
    <mergeCell ref="P32:P36"/>
    <mergeCell ref="U27:U31"/>
    <mergeCell ref="V27:V31"/>
    <mergeCell ref="P27:P31"/>
    <mergeCell ref="Q27:Q31"/>
    <mergeCell ref="R27:R31"/>
    <mergeCell ref="S27:S31"/>
    <mergeCell ref="T27:T31"/>
    <mergeCell ref="A32:A36"/>
    <mergeCell ref="B32:B36"/>
    <mergeCell ref="C32:C36"/>
    <mergeCell ref="D32:D36"/>
    <mergeCell ref="E32:E36"/>
    <mergeCell ref="F32:F36"/>
    <mergeCell ref="I32:I36"/>
    <mergeCell ref="J32:J36"/>
    <mergeCell ref="O27:O31"/>
    <mergeCell ref="I27:I31"/>
    <mergeCell ref="J27:J31"/>
    <mergeCell ref="K27:K31"/>
    <mergeCell ref="L27:L31"/>
    <mergeCell ref="M27:M31"/>
    <mergeCell ref="N27:N31"/>
    <mergeCell ref="A27:A31"/>
    <mergeCell ref="B27:B31"/>
    <mergeCell ref="C27:C31"/>
    <mergeCell ref="D27:D31"/>
    <mergeCell ref="E27:E31"/>
    <mergeCell ref="F27:F31"/>
    <mergeCell ref="Q22:Q26"/>
    <mergeCell ref="R22:R26"/>
    <mergeCell ref="S22:S26"/>
    <mergeCell ref="T22:T26"/>
    <mergeCell ref="U22:U26"/>
    <mergeCell ref="V22:V26"/>
    <mergeCell ref="K22:K26"/>
    <mergeCell ref="L22:L26"/>
    <mergeCell ref="M22:M26"/>
    <mergeCell ref="N22:N26"/>
    <mergeCell ref="O22:O26"/>
    <mergeCell ref="P22:P26"/>
    <mergeCell ref="U17:U21"/>
    <mergeCell ref="V17:V21"/>
    <mergeCell ref="A22:A26"/>
    <mergeCell ref="B22:B26"/>
    <mergeCell ref="C22:C26"/>
    <mergeCell ref="D22:D26"/>
    <mergeCell ref="E22:E26"/>
    <mergeCell ref="F22:F26"/>
    <mergeCell ref="I22:I26"/>
    <mergeCell ref="J22:J26"/>
    <mergeCell ref="O17:O21"/>
    <mergeCell ref="P17:P21"/>
    <mergeCell ref="Q17:Q21"/>
    <mergeCell ref="R17:R21"/>
    <mergeCell ref="S17:S21"/>
    <mergeCell ref="T17:T21"/>
    <mergeCell ref="I17:I21"/>
    <mergeCell ref="J17:J21"/>
    <mergeCell ref="K17:K21"/>
    <mergeCell ref="L17:L21"/>
    <mergeCell ref="M17:M21"/>
    <mergeCell ref="N17:N21"/>
    <mergeCell ref="A17:A21"/>
    <mergeCell ref="B17:B21"/>
    <mergeCell ref="C17:C21"/>
    <mergeCell ref="D17:D21"/>
    <mergeCell ref="E17:E21"/>
    <mergeCell ref="F17:F21"/>
    <mergeCell ref="T11:T12"/>
    <mergeCell ref="U11:U12"/>
    <mergeCell ref="V11:V12"/>
    <mergeCell ref="A14:V14"/>
    <mergeCell ref="A15:V15"/>
    <mergeCell ref="A16:V16"/>
    <mergeCell ref="N11:N12"/>
    <mergeCell ref="O11:O12"/>
    <mergeCell ref="P11:P12"/>
    <mergeCell ref="Q11:Q12"/>
    <mergeCell ref="R11:R12"/>
    <mergeCell ref="S11:S12"/>
    <mergeCell ref="I9:I12"/>
    <mergeCell ref="J9:L10"/>
    <mergeCell ref="M9:M12"/>
    <mergeCell ref="N9:V9"/>
    <mergeCell ref="N10:P10"/>
    <mergeCell ref="Q10:S10"/>
    <mergeCell ref="T10:V10"/>
    <mergeCell ref="J11:J12"/>
    <mergeCell ref="K11:K12"/>
    <mergeCell ref="L11:L12"/>
    <mergeCell ref="A5:V5"/>
    <mergeCell ref="A7:A12"/>
    <mergeCell ref="B7:B12"/>
    <mergeCell ref="C7:C12"/>
    <mergeCell ref="D7:D12"/>
    <mergeCell ref="E7:E12"/>
    <mergeCell ref="F7:F12"/>
    <mergeCell ref="G7:G8"/>
    <mergeCell ref="H7:H8"/>
    <mergeCell ref="I7:V8"/>
  </mergeCells>
  <printOptions horizontalCentered="1"/>
  <pageMargins left="0.23622047244094491" right="0.19685039370078741" top="0.98425196850393704" bottom="0.74803149606299213" header="0.31496062992125984" footer="0.31496062992125984"/>
  <pageSetup paperSize="9" scale="45" orientation="landscape" copies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1"/>
  <sheetViews>
    <sheetView view="pageBreakPreview" topLeftCell="E1" zoomScaleNormal="100" zoomScaleSheetLayoutView="100" workbookViewId="0">
      <selection activeCell="J27" sqref="J27:J31"/>
    </sheetView>
  </sheetViews>
  <sheetFormatPr defaultRowHeight="15"/>
  <cols>
    <col min="1" max="1" width="5.375" style="664" customWidth="1"/>
    <col min="2" max="2" width="13.125" style="664" customWidth="1"/>
    <col min="3" max="3" width="43.875" style="664" customWidth="1"/>
    <col min="4" max="4" width="11.625" style="664" customWidth="1"/>
    <col min="5" max="5" width="10.375" style="664" customWidth="1"/>
    <col min="6" max="6" width="11" style="664" customWidth="1"/>
    <col min="7" max="8" width="12.125" style="664" customWidth="1"/>
    <col min="9" max="9" width="12.875" style="664" customWidth="1"/>
    <col min="10" max="11" width="12.125" style="664" customWidth="1"/>
    <col min="12" max="12" width="11.375" style="664" customWidth="1"/>
    <col min="13" max="14" width="11.875" style="664" customWidth="1"/>
    <col min="15" max="15" width="11.75" style="664" customWidth="1"/>
    <col min="16" max="16" width="11.375" style="664" customWidth="1"/>
    <col min="17" max="17" width="11.875" style="664" customWidth="1"/>
    <col min="18" max="18" width="11.375" style="664" customWidth="1"/>
    <col min="19" max="19" width="10.375" style="664" customWidth="1"/>
    <col min="20" max="20" width="12.875" style="664" customWidth="1"/>
    <col min="21" max="21" width="11.75" style="664" customWidth="1"/>
    <col min="22" max="22" width="11" style="664" customWidth="1"/>
    <col min="23" max="256" width="9" style="664"/>
    <col min="257" max="257" width="5.375" style="664" customWidth="1"/>
    <col min="258" max="258" width="13.125" style="664" customWidth="1"/>
    <col min="259" max="259" width="43.875" style="664" customWidth="1"/>
    <col min="260" max="260" width="11.625" style="664" customWidth="1"/>
    <col min="261" max="261" width="10.375" style="664" customWidth="1"/>
    <col min="262" max="262" width="11" style="664" customWidth="1"/>
    <col min="263" max="264" width="12.125" style="664" customWidth="1"/>
    <col min="265" max="265" width="12.875" style="664" customWidth="1"/>
    <col min="266" max="267" width="12.125" style="664" customWidth="1"/>
    <col min="268" max="268" width="11.375" style="664" customWidth="1"/>
    <col min="269" max="270" width="11.875" style="664" customWidth="1"/>
    <col min="271" max="271" width="11.75" style="664" customWidth="1"/>
    <col min="272" max="272" width="11.375" style="664" customWidth="1"/>
    <col min="273" max="273" width="11.875" style="664" customWidth="1"/>
    <col min="274" max="274" width="11.375" style="664" customWidth="1"/>
    <col min="275" max="275" width="10.375" style="664" customWidth="1"/>
    <col min="276" max="276" width="12.875" style="664" customWidth="1"/>
    <col min="277" max="277" width="11.75" style="664" customWidth="1"/>
    <col min="278" max="278" width="11" style="664" customWidth="1"/>
    <col min="279" max="512" width="9" style="664"/>
    <col min="513" max="513" width="5.375" style="664" customWidth="1"/>
    <col min="514" max="514" width="13.125" style="664" customWidth="1"/>
    <col min="515" max="515" width="43.875" style="664" customWidth="1"/>
    <col min="516" max="516" width="11.625" style="664" customWidth="1"/>
    <col min="517" max="517" width="10.375" style="664" customWidth="1"/>
    <col min="518" max="518" width="11" style="664" customWidth="1"/>
    <col min="519" max="520" width="12.125" style="664" customWidth="1"/>
    <col min="521" max="521" width="12.875" style="664" customWidth="1"/>
    <col min="522" max="523" width="12.125" style="664" customWidth="1"/>
    <col min="524" max="524" width="11.375" style="664" customWidth="1"/>
    <col min="525" max="526" width="11.875" style="664" customWidth="1"/>
    <col min="527" max="527" width="11.75" style="664" customWidth="1"/>
    <col min="528" max="528" width="11.375" style="664" customWidth="1"/>
    <col min="529" max="529" width="11.875" style="664" customWidth="1"/>
    <col min="530" max="530" width="11.375" style="664" customWidth="1"/>
    <col min="531" max="531" width="10.375" style="664" customWidth="1"/>
    <col min="532" max="532" width="12.875" style="664" customWidth="1"/>
    <col min="533" max="533" width="11.75" style="664" customWidth="1"/>
    <col min="534" max="534" width="11" style="664" customWidth="1"/>
    <col min="535" max="768" width="9" style="664"/>
    <col min="769" max="769" width="5.375" style="664" customWidth="1"/>
    <col min="770" max="770" width="13.125" style="664" customWidth="1"/>
    <col min="771" max="771" width="43.875" style="664" customWidth="1"/>
    <col min="772" max="772" width="11.625" style="664" customWidth="1"/>
    <col min="773" max="773" width="10.375" style="664" customWidth="1"/>
    <col min="774" max="774" width="11" style="664" customWidth="1"/>
    <col min="775" max="776" width="12.125" style="664" customWidth="1"/>
    <col min="777" max="777" width="12.875" style="664" customWidth="1"/>
    <col min="778" max="779" width="12.125" style="664" customWidth="1"/>
    <col min="780" max="780" width="11.375" style="664" customWidth="1"/>
    <col min="781" max="782" width="11.875" style="664" customWidth="1"/>
    <col min="783" max="783" width="11.75" style="664" customWidth="1"/>
    <col min="784" max="784" width="11.375" style="664" customWidth="1"/>
    <col min="785" max="785" width="11.875" style="664" customWidth="1"/>
    <col min="786" max="786" width="11.375" style="664" customWidth="1"/>
    <col min="787" max="787" width="10.375" style="664" customWidth="1"/>
    <col min="788" max="788" width="12.875" style="664" customWidth="1"/>
    <col min="789" max="789" width="11.75" style="664" customWidth="1"/>
    <col min="790" max="790" width="11" style="664" customWidth="1"/>
    <col min="791" max="1024" width="9" style="664"/>
    <col min="1025" max="1025" width="5.375" style="664" customWidth="1"/>
    <col min="1026" max="1026" width="13.125" style="664" customWidth="1"/>
    <col min="1027" max="1027" width="43.875" style="664" customWidth="1"/>
    <col min="1028" max="1028" width="11.625" style="664" customWidth="1"/>
    <col min="1029" max="1029" width="10.375" style="664" customWidth="1"/>
    <col min="1030" max="1030" width="11" style="664" customWidth="1"/>
    <col min="1031" max="1032" width="12.125" style="664" customWidth="1"/>
    <col min="1033" max="1033" width="12.875" style="664" customWidth="1"/>
    <col min="1034" max="1035" width="12.125" style="664" customWidth="1"/>
    <col min="1036" max="1036" width="11.375" style="664" customWidth="1"/>
    <col min="1037" max="1038" width="11.875" style="664" customWidth="1"/>
    <col min="1039" max="1039" width="11.75" style="664" customWidth="1"/>
    <col min="1040" max="1040" width="11.375" style="664" customWidth="1"/>
    <col min="1041" max="1041" width="11.875" style="664" customWidth="1"/>
    <col min="1042" max="1042" width="11.375" style="664" customWidth="1"/>
    <col min="1043" max="1043" width="10.375" style="664" customWidth="1"/>
    <col min="1044" max="1044" width="12.875" style="664" customWidth="1"/>
    <col min="1045" max="1045" width="11.75" style="664" customWidth="1"/>
    <col min="1046" max="1046" width="11" style="664" customWidth="1"/>
    <col min="1047" max="1280" width="9" style="664"/>
    <col min="1281" max="1281" width="5.375" style="664" customWidth="1"/>
    <col min="1282" max="1282" width="13.125" style="664" customWidth="1"/>
    <col min="1283" max="1283" width="43.875" style="664" customWidth="1"/>
    <col min="1284" max="1284" width="11.625" style="664" customWidth="1"/>
    <col min="1285" max="1285" width="10.375" style="664" customWidth="1"/>
    <col min="1286" max="1286" width="11" style="664" customWidth="1"/>
    <col min="1287" max="1288" width="12.125" style="664" customWidth="1"/>
    <col min="1289" max="1289" width="12.875" style="664" customWidth="1"/>
    <col min="1290" max="1291" width="12.125" style="664" customWidth="1"/>
    <col min="1292" max="1292" width="11.375" style="664" customWidth="1"/>
    <col min="1293" max="1294" width="11.875" style="664" customWidth="1"/>
    <col min="1295" max="1295" width="11.75" style="664" customWidth="1"/>
    <col min="1296" max="1296" width="11.375" style="664" customWidth="1"/>
    <col min="1297" max="1297" width="11.875" style="664" customWidth="1"/>
    <col min="1298" max="1298" width="11.375" style="664" customWidth="1"/>
    <col min="1299" max="1299" width="10.375" style="664" customWidth="1"/>
    <col min="1300" max="1300" width="12.875" style="664" customWidth="1"/>
    <col min="1301" max="1301" width="11.75" style="664" customWidth="1"/>
    <col min="1302" max="1302" width="11" style="664" customWidth="1"/>
    <col min="1303" max="1536" width="9" style="664"/>
    <col min="1537" max="1537" width="5.375" style="664" customWidth="1"/>
    <col min="1538" max="1538" width="13.125" style="664" customWidth="1"/>
    <col min="1539" max="1539" width="43.875" style="664" customWidth="1"/>
    <col min="1540" max="1540" width="11.625" style="664" customWidth="1"/>
    <col min="1541" max="1541" width="10.375" style="664" customWidth="1"/>
    <col min="1542" max="1542" width="11" style="664" customWidth="1"/>
    <col min="1543" max="1544" width="12.125" style="664" customWidth="1"/>
    <col min="1545" max="1545" width="12.875" style="664" customWidth="1"/>
    <col min="1546" max="1547" width="12.125" style="664" customWidth="1"/>
    <col min="1548" max="1548" width="11.375" style="664" customWidth="1"/>
    <col min="1549" max="1550" width="11.875" style="664" customWidth="1"/>
    <col min="1551" max="1551" width="11.75" style="664" customWidth="1"/>
    <col min="1552" max="1552" width="11.375" style="664" customWidth="1"/>
    <col min="1553" max="1553" width="11.875" style="664" customWidth="1"/>
    <col min="1554" max="1554" width="11.375" style="664" customWidth="1"/>
    <col min="1555" max="1555" width="10.375" style="664" customWidth="1"/>
    <col min="1556" max="1556" width="12.875" style="664" customWidth="1"/>
    <col min="1557" max="1557" width="11.75" style="664" customWidth="1"/>
    <col min="1558" max="1558" width="11" style="664" customWidth="1"/>
    <col min="1559" max="1792" width="9" style="664"/>
    <col min="1793" max="1793" width="5.375" style="664" customWidth="1"/>
    <col min="1794" max="1794" width="13.125" style="664" customWidth="1"/>
    <col min="1795" max="1795" width="43.875" style="664" customWidth="1"/>
    <col min="1796" max="1796" width="11.625" style="664" customWidth="1"/>
    <col min="1797" max="1797" width="10.375" style="664" customWidth="1"/>
    <col min="1798" max="1798" width="11" style="664" customWidth="1"/>
    <col min="1799" max="1800" width="12.125" style="664" customWidth="1"/>
    <col min="1801" max="1801" width="12.875" style="664" customWidth="1"/>
    <col min="1802" max="1803" width="12.125" style="664" customWidth="1"/>
    <col min="1804" max="1804" width="11.375" style="664" customWidth="1"/>
    <col min="1805" max="1806" width="11.875" style="664" customWidth="1"/>
    <col min="1807" max="1807" width="11.75" style="664" customWidth="1"/>
    <col min="1808" max="1808" width="11.375" style="664" customWidth="1"/>
    <col min="1809" max="1809" width="11.875" style="664" customWidth="1"/>
    <col min="1810" max="1810" width="11.375" style="664" customWidth="1"/>
    <col min="1811" max="1811" width="10.375" style="664" customWidth="1"/>
    <col min="1812" max="1812" width="12.875" style="664" customWidth="1"/>
    <col min="1813" max="1813" width="11.75" style="664" customWidth="1"/>
    <col min="1814" max="1814" width="11" style="664" customWidth="1"/>
    <col min="1815" max="2048" width="9" style="664"/>
    <col min="2049" max="2049" width="5.375" style="664" customWidth="1"/>
    <col min="2050" max="2050" width="13.125" style="664" customWidth="1"/>
    <col min="2051" max="2051" width="43.875" style="664" customWidth="1"/>
    <col min="2052" max="2052" width="11.625" style="664" customWidth="1"/>
    <col min="2053" max="2053" width="10.375" style="664" customWidth="1"/>
    <col min="2054" max="2054" width="11" style="664" customWidth="1"/>
    <col min="2055" max="2056" width="12.125" style="664" customWidth="1"/>
    <col min="2057" max="2057" width="12.875" style="664" customWidth="1"/>
    <col min="2058" max="2059" width="12.125" style="664" customWidth="1"/>
    <col min="2060" max="2060" width="11.375" style="664" customWidth="1"/>
    <col min="2061" max="2062" width="11.875" style="664" customWidth="1"/>
    <col min="2063" max="2063" width="11.75" style="664" customWidth="1"/>
    <col min="2064" max="2064" width="11.375" style="664" customWidth="1"/>
    <col min="2065" max="2065" width="11.875" style="664" customWidth="1"/>
    <col min="2066" max="2066" width="11.375" style="664" customWidth="1"/>
    <col min="2067" max="2067" width="10.375" style="664" customWidth="1"/>
    <col min="2068" max="2068" width="12.875" style="664" customWidth="1"/>
    <col min="2069" max="2069" width="11.75" style="664" customWidth="1"/>
    <col min="2070" max="2070" width="11" style="664" customWidth="1"/>
    <col min="2071" max="2304" width="9" style="664"/>
    <col min="2305" max="2305" width="5.375" style="664" customWidth="1"/>
    <col min="2306" max="2306" width="13.125" style="664" customWidth="1"/>
    <col min="2307" max="2307" width="43.875" style="664" customWidth="1"/>
    <col min="2308" max="2308" width="11.625" style="664" customWidth="1"/>
    <col min="2309" max="2309" width="10.375" style="664" customWidth="1"/>
    <col min="2310" max="2310" width="11" style="664" customWidth="1"/>
    <col min="2311" max="2312" width="12.125" style="664" customWidth="1"/>
    <col min="2313" max="2313" width="12.875" style="664" customWidth="1"/>
    <col min="2314" max="2315" width="12.125" style="664" customWidth="1"/>
    <col min="2316" max="2316" width="11.375" style="664" customWidth="1"/>
    <col min="2317" max="2318" width="11.875" style="664" customWidth="1"/>
    <col min="2319" max="2319" width="11.75" style="664" customWidth="1"/>
    <col min="2320" max="2320" width="11.375" style="664" customWidth="1"/>
    <col min="2321" max="2321" width="11.875" style="664" customWidth="1"/>
    <col min="2322" max="2322" width="11.375" style="664" customWidth="1"/>
    <col min="2323" max="2323" width="10.375" style="664" customWidth="1"/>
    <col min="2324" max="2324" width="12.875" style="664" customWidth="1"/>
    <col min="2325" max="2325" width="11.75" style="664" customWidth="1"/>
    <col min="2326" max="2326" width="11" style="664" customWidth="1"/>
    <col min="2327" max="2560" width="9" style="664"/>
    <col min="2561" max="2561" width="5.375" style="664" customWidth="1"/>
    <col min="2562" max="2562" width="13.125" style="664" customWidth="1"/>
    <col min="2563" max="2563" width="43.875" style="664" customWidth="1"/>
    <col min="2564" max="2564" width="11.625" style="664" customWidth="1"/>
    <col min="2565" max="2565" width="10.375" style="664" customWidth="1"/>
    <col min="2566" max="2566" width="11" style="664" customWidth="1"/>
    <col min="2567" max="2568" width="12.125" style="664" customWidth="1"/>
    <col min="2569" max="2569" width="12.875" style="664" customWidth="1"/>
    <col min="2570" max="2571" width="12.125" style="664" customWidth="1"/>
    <col min="2572" max="2572" width="11.375" style="664" customWidth="1"/>
    <col min="2573" max="2574" width="11.875" style="664" customWidth="1"/>
    <col min="2575" max="2575" width="11.75" style="664" customWidth="1"/>
    <col min="2576" max="2576" width="11.375" style="664" customWidth="1"/>
    <col min="2577" max="2577" width="11.875" style="664" customWidth="1"/>
    <col min="2578" max="2578" width="11.375" style="664" customWidth="1"/>
    <col min="2579" max="2579" width="10.375" style="664" customWidth="1"/>
    <col min="2580" max="2580" width="12.875" style="664" customWidth="1"/>
    <col min="2581" max="2581" width="11.75" style="664" customWidth="1"/>
    <col min="2582" max="2582" width="11" style="664" customWidth="1"/>
    <col min="2583" max="2816" width="9" style="664"/>
    <col min="2817" max="2817" width="5.375" style="664" customWidth="1"/>
    <col min="2818" max="2818" width="13.125" style="664" customWidth="1"/>
    <col min="2819" max="2819" width="43.875" style="664" customWidth="1"/>
    <col min="2820" max="2820" width="11.625" style="664" customWidth="1"/>
    <col min="2821" max="2821" width="10.375" style="664" customWidth="1"/>
    <col min="2822" max="2822" width="11" style="664" customWidth="1"/>
    <col min="2823" max="2824" width="12.125" style="664" customWidth="1"/>
    <col min="2825" max="2825" width="12.875" style="664" customWidth="1"/>
    <col min="2826" max="2827" width="12.125" style="664" customWidth="1"/>
    <col min="2828" max="2828" width="11.375" style="664" customWidth="1"/>
    <col min="2829" max="2830" width="11.875" style="664" customWidth="1"/>
    <col min="2831" max="2831" width="11.75" style="664" customWidth="1"/>
    <col min="2832" max="2832" width="11.375" style="664" customWidth="1"/>
    <col min="2833" max="2833" width="11.875" style="664" customWidth="1"/>
    <col min="2834" max="2834" width="11.375" style="664" customWidth="1"/>
    <col min="2835" max="2835" width="10.375" style="664" customWidth="1"/>
    <col min="2836" max="2836" width="12.875" style="664" customWidth="1"/>
    <col min="2837" max="2837" width="11.75" style="664" customWidth="1"/>
    <col min="2838" max="2838" width="11" style="664" customWidth="1"/>
    <col min="2839" max="3072" width="9" style="664"/>
    <col min="3073" max="3073" width="5.375" style="664" customWidth="1"/>
    <col min="3074" max="3074" width="13.125" style="664" customWidth="1"/>
    <col min="3075" max="3075" width="43.875" style="664" customWidth="1"/>
    <col min="3076" max="3076" width="11.625" style="664" customWidth="1"/>
    <col min="3077" max="3077" width="10.375" style="664" customWidth="1"/>
    <col min="3078" max="3078" width="11" style="664" customWidth="1"/>
    <col min="3079" max="3080" width="12.125" style="664" customWidth="1"/>
    <col min="3081" max="3081" width="12.875" style="664" customWidth="1"/>
    <col min="3082" max="3083" width="12.125" style="664" customWidth="1"/>
    <col min="3084" max="3084" width="11.375" style="664" customWidth="1"/>
    <col min="3085" max="3086" width="11.875" style="664" customWidth="1"/>
    <col min="3087" max="3087" width="11.75" style="664" customWidth="1"/>
    <col min="3088" max="3088" width="11.375" style="664" customWidth="1"/>
    <col min="3089" max="3089" width="11.875" style="664" customWidth="1"/>
    <col min="3090" max="3090" width="11.375" style="664" customWidth="1"/>
    <col min="3091" max="3091" width="10.375" style="664" customWidth="1"/>
    <col min="3092" max="3092" width="12.875" style="664" customWidth="1"/>
    <col min="3093" max="3093" width="11.75" style="664" customWidth="1"/>
    <col min="3094" max="3094" width="11" style="664" customWidth="1"/>
    <col min="3095" max="3328" width="9" style="664"/>
    <col min="3329" max="3329" width="5.375" style="664" customWidth="1"/>
    <col min="3330" max="3330" width="13.125" style="664" customWidth="1"/>
    <col min="3331" max="3331" width="43.875" style="664" customWidth="1"/>
    <col min="3332" max="3332" width="11.625" style="664" customWidth="1"/>
    <col min="3333" max="3333" width="10.375" style="664" customWidth="1"/>
    <col min="3334" max="3334" width="11" style="664" customWidth="1"/>
    <col min="3335" max="3336" width="12.125" style="664" customWidth="1"/>
    <col min="3337" max="3337" width="12.875" style="664" customWidth="1"/>
    <col min="3338" max="3339" width="12.125" style="664" customWidth="1"/>
    <col min="3340" max="3340" width="11.375" style="664" customWidth="1"/>
    <col min="3341" max="3342" width="11.875" style="664" customWidth="1"/>
    <col min="3343" max="3343" width="11.75" style="664" customWidth="1"/>
    <col min="3344" max="3344" width="11.375" style="664" customWidth="1"/>
    <col min="3345" max="3345" width="11.875" style="664" customWidth="1"/>
    <col min="3346" max="3346" width="11.375" style="664" customWidth="1"/>
    <col min="3347" max="3347" width="10.375" style="664" customWidth="1"/>
    <col min="3348" max="3348" width="12.875" style="664" customWidth="1"/>
    <col min="3349" max="3349" width="11.75" style="664" customWidth="1"/>
    <col min="3350" max="3350" width="11" style="664" customWidth="1"/>
    <col min="3351" max="3584" width="9" style="664"/>
    <col min="3585" max="3585" width="5.375" style="664" customWidth="1"/>
    <col min="3586" max="3586" width="13.125" style="664" customWidth="1"/>
    <col min="3587" max="3587" width="43.875" style="664" customWidth="1"/>
    <col min="3588" max="3588" width="11.625" style="664" customWidth="1"/>
    <col min="3589" max="3589" width="10.375" style="664" customWidth="1"/>
    <col min="3590" max="3590" width="11" style="664" customWidth="1"/>
    <col min="3591" max="3592" width="12.125" style="664" customWidth="1"/>
    <col min="3593" max="3593" width="12.875" style="664" customWidth="1"/>
    <col min="3594" max="3595" width="12.125" style="664" customWidth="1"/>
    <col min="3596" max="3596" width="11.375" style="664" customWidth="1"/>
    <col min="3597" max="3598" width="11.875" style="664" customWidth="1"/>
    <col min="3599" max="3599" width="11.75" style="664" customWidth="1"/>
    <col min="3600" max="3600" width="11.375" style="664" customWidth="1"/>
    <col min="3601" max="3601" width="11.875" style="664" customWidth="1"/>
    <col min="3602" max="3602" width="11.375" style="664" customWidth="1"/>
    <col min="3603" max="3603" width="10.375" style="664" customWidth="1"/>
    <col min="3604" max="3604" width="12.875" style="664" customWidth="1"/>
    <col min="3605" max="3605" width="11.75" style="664" customWidth="1"/>
    <col min="3606" max="3606" width="11" style="664" customWidth="1"/>
    <col min="3607" max="3840" width="9" style="664"/>
    <col min="3841" max="3841" width="5.375" style="664" customWidth="1"/>
    <col min="3842" max="3842" width="13.125" style="664" customWidth="1"/>
    <col min="3843" max="3843" width="43.875" style="664" customWidth="1"/>
    <col min="3844" max="3844" width="11.625" style="664" customWidth="1"/>
    <col min="3845" max="3845" width="10.375" style="664" customWidth="1"/>
    <col min="3846" max="3846" width="11" style="664" customWidth="1"/>
    <col min="3847" max="3848" width="12.125" style="664" customWidth="1"/>
    <col min="3849" max="3849" width="12.875" style="664" customWidth="1"/>
    <col min="3850" max="3851" width="12.125" style="664" customWidth="1"/>
    <col min="3852" max="3852" width="11.375" style="664" customWidth="1"/>
    <col min="3853" max="3854" width="11.875" style="664" customWidth="1"/>
    <col min="3855" max="3855" width="11.75" style="664" customWidth="1"/>
    <col min="3856" max="3856" width="11.375" style="664" customWidth="1"/>
    <col min="3857" max="3857" width="11.875" style="664" customWidth="1"/>
    <col min="3858" max="3858" width="11.375" style="664" customWidth="1"/>
    <col min="3859" max="3859" width="10.375" style="664" customWidth="1"/>
    <col min="3860" max="3860" width="12.875" style="664" customWidth="1"/>
    <col min="3861" max="3861" width="11.75" style="664" customWidth="1"/>
    <col min="3862" max="3862" width="11" style="664" customWidth="1"/>
    <col min="3863" max="4096" width="9" style="664"/>
    <col min="4097" max="4097" width="5.375" style="664" customWidth="1"/>
    <col min="4098" max="4098" width="13.125" style="664" customWidth="1"/>
    <col min="4099" max="4099" width="43.875" style="664" customWidth="1"/>
    <col min="4100" max="4100" width="11.625" style="664" customWidth="1"/>
    <col min="4101" max="4101" width="10.375" style="664" customWidth="1"/>
    <col min="4102" max="4102" width="11" style="664" customWidth="1"/>
    <col min="4103" max="4104" width="12.125" style="664" customWidth="1"/>
    <col min="4105" max="4105" width="12.875" style="664" customWidth="1"/>
    <col min="4106" max="4107" width="12.125" style="664" customWidth="1"/>
    <col min="4108" max="4108" width="11.375" style="664" customWidth="1"/>
    <col min="4109" max="4110" width="11.875" style="664" customWidth="1"/>
    <col min="4111" max="4111" width="11.75" style="664" customWidth="1"/>
    <col min="4112" max="4112" width="11.375" style="664" customWidth="1"/>
    <col min="4113" max="4113" width="11.875" style="664" customWidth="1"/>
    <col min="4114" max="4114" width="11.375" style="664" customWidth="1"/>
    <col min="4115" max="4115" width="10.375" style="664" customWidth="1"/>
    <col min="4116" max="4116" width="12.875" style="664" customWidth="1"/>
    <col min="4117" max="4117" width="11.75" style="664" customWidth="1"/>
    <col min="4118" max="4118" width="11" style="664" customWidth="1"/>
    <col min="4119" max="4352" width="9" style="664"/>
    <col min="4353" max="4353" width="5.375" style="664" customWidth="1"/>
    <col min="4354" max="4354" width="13.125" style="664" customWidth="1"/>
    <col min="4355" max="4355" width="43.875" style="664" customWidth="1"/>
    <col min="4356" max="4356" width="11.625" style="664" customWidth="1"/>
    <col min="4357" max="4357" width="10.375" style="664" customWidth="1"/>
    <col min="4358" max="4358" width="11" style="664" customWidth="1"/>
    <col min="4359" max="4360" width="12.125" style="664" customWidth="1"/>
    <col min="4361" max="4361" width="12.875" style="664" customWidth="1"/>
    <col min="4362" max="4363" width="12.125" style="664" customWidth="1"/>
    <col min="4364" max="4364" width="11.375" style="664" customWidth="1"/>
    <col min="4365" max="4366" width="11.875" style="664" customWidth="1"/>
    <col min="4367" max="4367" width="11.75" style="664" customWidth="1"/>
    <col min="4368" max="4368" width="11.375" style="664" customWidth="1"/>
    <col min="4369" max="4369" width="11.875" style="664" customWidth="1"/>
    <col min="4370" max="4370" width="11.375" style="664" customWidth="1"/>
    <col min="4371" max="4371" width="10.375" style="664" customWidth="1"/>
    <col min="4372" max="4372" width="12.875" style="664" customWidth="1"/>
    <col min="4373" max="4373" width="11.75" style="664" customWidth="1"/>
    <col min="4374" max="4374" width="11" style="664" customWidth="1"/>
    <col min="4375" max="4608" width="9" style="664"/>
    <col min="4609" max="4609" width="5.375" style="664" customWidth="1"/>
    <col min="4610" max="4610" width="13.125" style="664" customWidth="1"/>
    <col min="4611" max="4611" width="43.875" style="664" customWidth="1"/>
    <col min="4612" max="4612" width="11.625" style="664" customWidth="1"/>
    <col min="4613" max="4613" width="10.375" style="664" customWidth="1"/>
    <col min="4614" max="4614" width="11" style="664" customWidth="1"/>
    <col min="4615" max="4616" width="12.125" style="664" customWidth="1"/>
    <col min="4617" max="4617" width="12.875" style="664" customWidth="1"/>
    <col min="4618" max="4619" width="12.125" style="664" customWidth="1"/>
    <col min="4620" max="4620" width="11.375" style="664" customWidth="1"/>
    <col min="4621" max="4622" width="11.875" style="664" customWidth="1"/>
    <col min="4623" max="4623" width="11.75" style="664" customWidth="1"/>
    <col min="4624" max="4624" width="11.375" style="664" customWidth="1"/>
    <col min="4625" max="4625" width="11.875" style="664" customWidth="1"/>
    <col min="4626" max="4626" width="11.375" style="664" customWidth="1"/>
    <col min="4627" max="4627" width="10.375" style="664" customWidth="1"/>
    <col min="4628" max="4628" width="12.875" style="664" customWidth="1"/>
    <col min="4629" max="4629" width="11.75" style="664" customWidth="1"/>
    <col min="4630" max="4630" width="11" style="664" customWidth="1"/>
    <col min="4631" max="4864" width="9" style="664"/>
    <col min="4865" max="4865" width="5.375" style="664" customWidth="1"/>
    <col min="4866" max="4866" width="13.125" style="664" customWidth="1"/>
    <col min="4867" max="4867" width="43.875" style="664" customWidth="1"/>
    <col min="4868" max="4868" width="11.625" style="664" customWidth="1"/>
    <col min="4869" max="4869" width="10.375" style="664" customWidth="1"/>
    <col min="4870" max="4870" width="11" style="664" customWidth="1"/>
    <col min="4871" max="4872" width="12.125" style="664" customWidth="1"/>
    <col min="4873" max="4873" width="12.875" style="664" customWidth="1"/>
    <col min="4874" max="4875" width="12.125" style="664" customWidth="1"/>
    <col min="4876" max="4876" width="11.375" style="664" customWidth="1"/>
    <col min="4877" max="4878" width="11.875" style="664" customWidth="1"/>
    <col min="4879" max="4879" width="11.75" style="664" customWidth="1"/>
    <col min="4880" max="4880" width="11.375" style="664" customWidth="1"/>
    <col min="4881" max="4881" width="11.875" style="664" customWidth="1"/>
    <col min="4882" max="4882" width="11.375" style="664" customWidth="1"/>
    <col min="4883" max="4883" width="10.375" style="664" customWidth="1"/>
    <col min="4884" max="4884" width="12.875" style="664" customWidth="1"/>
    <col min="4885" max="4885" width="11.75" style="664" customWidth="1"/>
    <col min="4886" max="4886" width="11" style="664" customWidth="1"/>
    <col min="4887" max="5120" width="9" style="664"/>
    <col min="5121" max="5121" width="5.375" style="664" customWidth="1"/>
    <col min="5122" max="5122" width="13.125" style="664" customWidth="1"/>
    <col min="5123" max="5123" width="43.875" style="664" customWidth="1"/>
    <col min="5124" max="5124" width="11.625" style="664" customWidth="1"/>
    <col min="5125" max="5125" width="10.375" style="664" customWidth="1"/>
    <col min="5126" max="5126" width="11" style="664" customWidth="1"/>
    <col min="5127" max="5128" width="12.125" style="664" customWidth="1"/>
    <col min="5129" max="5129" width="12.875" style="664" customWidth="1"/>
    <col min="5130" max="5131" width="12.125" style="664" customWidth="1"/>
    <col min="5132" max="5132" width="11.375" style="664" customWidth="1"/>
    <col min="5133" max="5134" width="11.875" style="664" customWidth="1"/>
    <col min="5135" max="5135" width="11.75" style="664" customWidth="1"/>
    <col min="5136" max="5136" width="11.375" style="664" customWidth="1"/>
    <col min="5137" max="5137" width="11.875" style="664" customWidth="1"/>
    <col min="5138" max="5138" width="11.375" style="664" customWidth="1"/>
    <col min="5139" max="5139" width="10.375" style="664" customWidth="1"/>
    <col min="5140" max="5140" width="12.875" style="664" customWidth="1"/>
    <col min="5141" max="5141" width="11.75" style="664" customWidth="1"/>
    <col min="5142" max="5142" width="11" style="664" customWidth="1"/>
    <col min="5143" max="5376" width="9" style="664"/>
    <col min="5377" max="5377" width="5.375" style="664" customWidth="1"/>
    <col min="5378" max="5378" width="13.125" style="664" customWidth="1"/>
    <col min="5379" max="5379" width="43.875" style="664" customWidth="1"/>
    <col min="5380" max="5380" width="11.625" style="664" customWidth="1"/>
    <col min="5381" max="5381" width="10.375" style="664" customWidth="1"/>
    <col min="5382" max="5382" width="11" style="664" customWidth="1"/>
    <col min="5383" max="5384" width="12.125" style="664" customWidth="1"/>
    <col min="5385" max="5385" width="12.875" style="664" customWidth="1"/>
    <col min="5386" max="5387" width="12.125" style="664" customWidth="1"/>
    <col min="5388" max="5388" width="11.375" style="664" customWidth="1"/>
    <col min="5389" max="5390" width="11.875" style="664" customWidth="1"/>
    <col min="5391" max="5391" width="11.75" style="664" customWidth="1"/>
    <col min="5392" max="5392" width="11.375" style="664" customWidth="1"/>
    <col min="5393" max="5393" width="11.875" style="664" customWidth="1"/>
    <col min="5394" max="5394" width="11.375" style="664" customWidth="1"/>
    <col min="5395" max="5395" width="10.375" style="664" customWidth="1"/>
    <col min="5396" max="5396" width="12.875" style="664" customWidth="1"/>
    <col min="5397" max="5397" width="11.75" style="664" customWidth="1"/>
    <col min="5398" max="5398" width="11" style="664" customWidth="1"/>
    <col min="5399" max="5632" width="9" style="664"/>
    <col min="5633" max="5633" width="5.375" style="664" customWidth="1"/>
    <col min="5634" max="5634" width="13.125" style="664" customWidth="1"/>
    <col min="5635" max="5635" width="43.875" style="664" customWidth="1"/>
    <col min="5636" max="5636" width="11.625" style="664" customWidth="1"/>
    <col min="5637" max="5637" width="10.375" style="664" customWidth="1"/>
    <col min="5638" max="5638" width="11" style="664" customWidth="1"/>
    <col min="5639" max="5640" width="12.125" style="664" customWidth="1"/>
    <col min="5641" max="5641" width="12.875" style="664" customWidth="1"/>
    <col min="5642" max="5643" width="12.125" style="664" customWidth="1"/>
    <col min="5644" max="5644" width="11.375" style="664" customWidth="1"/>
    <col min="5645" max="5646" width="11.875" style="664" customWidth="1"/>
    <col min="5647" max="5647" width="11.75" style="664" customWidth="1"/>
    <col min="5648" max="5648" width="11.375" style="664" customWidth="1"/>
    <col min="5649" max="5649" width="11.875" style="664" customWidth="1"/>
    <col min="5650" max="5650" width="11.375" style="664" customWidth="1"/>
    <col min="5651" max="5651" width="10.375" style="664" customWidth="1"/>
    <col min="5652" max="5652" width="12.875" style="664" customWidth="1"/>
    <col min="5653" max="5653" width="11.75" style="664" customWidth="1"/>
    <col min="5654" max="5654" width="11" style="664" customWidth="1"/>
    <col min="5655" max="5888" width="9" style="664"/>
    <col min="5889" max="5889" width="5.375" style="664" customWidth="1"/>
    <col min="5890" max="5890" width="13.125" style="664" customWidth="1"/>
    <col min="5891" max="5891" width="43.875" style="664" customWidth="1"/>
    <col min="5892" max="5892" width="11.625" style="664" customWidth="1"/>
    <col min="5893" max="5893" width="10.375" style="664" customWidth="1"/>
    <col min="5894" max="5894" width="11" style="664" customWidth="1"/>
    <col min="5895" max="5896" width="12.125" style="664" customWidth="1"/>
    <col min="5897" max="5897" width="12.875" style="664" customWidth="1"/>
    <col min="5898" max="5899" width="12.125" style="664" customWidth="1"/>
    <col min="5900" max="5900" width="11.375" style="664" customWidth="1"/>
    <col min="5901" max="5902" width="11.875" style="664" customWidth="1"/>
    <col min="5903" max="5903" width="11.75" style="664" customWidth="1"/>
    <col min="5904" max="5904" width="11.375" style="664" customWidth="1"/>
    <col min="5905" max="5905" width="11.875" style="664" customWidth="1"/>
    <col min="5906" max="5906" width="11.375" style="664" customWidth="1"/>
    <col min="5907" max="5907" width="10.375" style="664" customWidth="1"/>
    <col min="5908" max="5908" width="12.875" style="664" customWidth="1"/>
    <col min="5909" max="5909" width="11.75" style="664" customWidth="1"/>
    <col min="5910" max="5910" width="11" style="664" customWidth="1"/>
    <col min="5911" max="6144" width="9" style="664"/>
    <col min="6145" max="6145" width="5.375" style="664" customWidth="1"/>
    <col min="6146" max="6146" width="13.125" style="664" customWidth="1"/>
    <col min="6147" max="6147" width="43.875" style="664" customWidth="1"/>
    <col min="6148" max="6148" width="11.625" style="664" customWidth="1"/>
    <col min="6149" max="6149" width="10.375" style="664" customWidth="1"/>
    <col min="6150" max="6150" width="11" style="664" customWidth="1"/>
    <col min="6151" max="6152" width="12.125" style="664" customWidth="1"/>
    <col min="6153" max="6153" width="12.875" style="664" customWidth="1"/>
    <col min="6154" max="6155" width="12.125" style="664" customWidth="1"/>
    <col min="6156" max="6156" width="11.375" style="664" customWidth="1"/>
    <col min="6157" max="6158" width="11.875" style="664" customWidth="1"/>
    <col min="6159" max="6159" width="11.75" style="664" customWidth="1"/>
    <col min="6160" max="6160" width="11.375" style="664" customWidth="1"/>
    <col min="6161" max="6161" width="11.875" style="664" customWidth="1"/>
    <col min="6162" max="6162" width="11.375" style="664" customWidth="1"/>
    <col min="6163" max="6163" width="10.375" style="664" customWidth="1"/>
    <col min="6164" max="6164" width="12.875" style="664" customWidth="1"/>
    <col min="6165" max="6165" width="11.75" style="664" customWidth="1"/>
    <col min="6166" max="6166" width="11" style="664" customWidth="1"/>
    <col min="6167" max="6400" width="9" style="664"/>
    <col min="6401" max="6401" width="5.375" style="664" customWidth="1"/>
    <col min="6402" max="6402" width="13.125" style="664" customWidth="1"/>
    <col min="6403" max="6403" width="43.875" style="664" customWidth="1"/>
    <col min="6404" max="6404" width="11.625" style="664" customWidth="1"/>
    <col min="6405" max="6405" width="10.375" style="664" customWidth="1"/>
    <col min="6406" max="6406" width="11" style="664" customWidth="1"/>
    <col min="6407" max="6408" width="12.125" style="664" customWidth="1"/>
    <col min="6409" max="6409" width="12.875" style="664" customWidth="1"/>
    <col min="6410" max="6411" width="12.125" style="664" customWidth="1"/>
    <col min="6412" max="6412" width="11.375" style="664" customWidth="1"/>
    <col min="6413" max="6414" width="11.875" style="664" customWidth="1"/>
    <col min="6415" max="6415" width="11.75" style="664" customWidth="1"/>
    <col min="6416" max="6416" width="11.375" style="664" customWidth="1"/>
    <col min="6417" max="6417" width="11.875" style="664" customWidth="1"/>
    <col min="6418" max="6418" width="11.375" style="664" customWidth="1"/>
    <col min="6419" max="6419" width="10.375" style="664" customWidth="1"/>
    <col min="6420" max="6420" width="12.875" style="664" customWidth="1"/>
    <col min="6421" max="6421" width="11.75" style="664" customWidth="1"/>
    <col min="6422" max="6422" width="11" style="664" customWidth="1"/>
    <col min="6423" max="6656" width="9" style="664"/>
    <col min="6657" max="6657" width="5.375" style="664" customWidth="1"/>
    <col min="6658" max="6658" width="13.125" style="664" customWidth="1"/>
    <col min="6659" max="6659" width="43.875" style="664" customWidth="1"/>
    <col min="6660" max="6660" width="11.625" style="664" customWidth="1"/>
    <col min="6661" max="6661" width="10.375" style="664" customWidth="1"/>
    <col min="6662" max="6662" width="11" style="664" customWidth="1"/>
    <col min="6663" max="6664" width="12.125" style="664" customWidth="1"/>
    <col min="6665" max="6665" width="12.875" style="664" customWidth="1"/>
    <col min="6666" max="6667" width="12.125" style="664" customWidth="1"/>
    <col min="6668" max="6668" width="11.375" style="664" customWidth="1"/>
    <col min="6669" max="6670" width="11.875" style="664" customWidth="1"/>
    <col min="6671" max="6671" width="11.75" style="664" customWidth="1"/>
    <col min="6672" max="6672" width="11.375" style="664" customWidth="1"/>
    <col min="6673" max="6673" width="11.875" style="664" customWidth="1"/>
    <col min="6674" max="6674" width="11.375" style="664" customWidth="1"/>
    <col min="6675" max="6675" width="10.375" style="664" customWidth="1"/>
    <col min="6676" max="6676" width="12.875" style="664" customWidth="1"/>
    <col min="6677" max="6677" width="11.75" style="664" customWidth="1"/>
    <col min="6678" max="6678" width="11" style="664" customWidth="1"/>
    <col min="6679" max="6912" width="9" style="664"/>
    <col min="6913" max="6913" width="5.375" style="664" customWidth="1"/>
    <col min="6914" max="6914" width="13.125" style="664" customWidth="1"/>
    <col min="6915" max="6915" width="43.875" style="664" customWidth="1"/>
    <col min="6916" max="6916" width="11.625" style="664" customWidth="1"/>
    <col min="6917" max="6917" width="10.375" style="664" customWidth="1"/>
    <col min="6918" max="6918" width="11" style="664" customWidth="1"/>
    <col min="6919" max="6920" width="12.125" style="664" customWidth="1"/>
    <col min="6921" max="6921" width="12.875" style="664" customWidth="1"/>
    <col min="6922" max="6923" width="12.125" style="664" customWidth="1"/>
    <col min="6924" max="6924" width="11.375" style="664" customWidth="1"/>
    <col min="6925" max="6926" width="11.875" style="664" customWidth="1"/>
    <col min="6927" max="6927" width="11.75" style="664" customWidth="1"/>
    <col min="6928" max="6928" width="11.375" style="664" customWidth="1"/>
    <col min="6929" max="6929" width="11.875" style="664" customWidth="1"/>
    <col min="6930" max="6930" width="11.375" style="664" customWidth="1"/>
    <col min="6931" max="6931" width="10.375" style="664" customWidth="1"/>
    <col min="6932" max="6932" width="12.875" style="664" customWidth="1"/>
    <col min="6933" max="6933" width="11.75" style="664" customWidth="1"/>
    <col min="6934" max="6934" width="11" style="664" customWidth="1"/>
    <col min="6935" max="7168" width="9" style="664"/>
    <col min="7169" max="7169" width="5.375" style="664" customWidth="1"/>
    <col min="7170" max="7170" width="13.125" style="664" customWidth="1"/>
    <col min="7171" max="7171" width="43.875" style="664" customWidth="1"/>
    <col min="7172" max="7172" width="11.625" style="664" customWidth="1"/>
    <col min="7173" max="7173" width="10.375" style="664" customWidth="1"/>
    <col min="7174" max="7174" width="11" style="664" customWidth="1"/>
    <col min="7175" max="7176" width="12.125" style="664" customWidth="1"/>
    <col min="7177" max="7177" width="12.875" style="664" customWidth="1"/>
    <col min="7178" max="7179" width="12.125" style="664" customWidth="1"/>
    <col min="7180" max="7180" width="11.375" style="664" customWidth="1"/>
    <col min="7181" max="7182" width="11.875" style="664" customWidth="1"/>
    <col min="7183" max="7183" width="11.75" style="664" customWidth="1"/>
    <col min="7184" max="7184" width="11.375" style="664" customWidth="1"/>
    <col min="7185" max="7185" width="11.875" style="664" customWidth="1"/>
    <col min="7186" max="7186" width="11.375" style="664" customWidth="1"/>
    <col min="7187" max="7187" width="10.375" style="664" customWidth="1"/>
    <col min="7188" max="7188" width="12.875" style="664" customWidth="1"/>
    <col min="7189" max="7189" width="11.75" style="664" customWidth="1"/>
    <col min="7190" max="7190" width="11" style="664" customWidth="1"/>
    <col min="7191" max="7424" width="9" style="664"/>
    <col min="7425" max="7425" width="5.375" style="664" customWidth="1"/>
    <col min="7426" max="7426" width="13.125" style="664" customWidth="1"/>
    <col min="7427" max="7427" width="43.875" style="664" customWidth="1"/>
    <col min="7428" max="7428" width="11.625" style="664" customWidth="1"/>
    <col min="7429" max="7429" width="10.375" style="664" customWidth="1"/>
    <col min="7430" max="7430" width="11" style="664" customWidth="1"/>
    <col min="7431" max="7432" width="12.125" style="664" customWidth="1"/>
    <col min="7433" max="7433" width="12.875" style="664" customWidth="1"/>
    <col min="7434" max="7435" width="12.125" style="664" customWidth="1"/>
    <col min="7436" max="7436" width="11.375" style="664" customWidth="1"/>
    <col min="7437" max="7438" width="11.875" style="664" customWidth="1"/>
    <col min="7439" max="7439" width="11.75" style="664" customWidth="1"/>
    <col min="7440" max="7440" width="11.375" style="664" customWidth="1"/>
    <col min="7441" max="7441" width="11.875" style="664" customWidth="1"/>
    <col min="7442" max="7442" width="11.375" style="664" customWidth="1"/>
    <col min="7443" max="7443" width="10.375" style="664" customWidth="1"/>
    <col min="7444" max="7444" width="12.875" style="664" customWidth="1"/>
    <col min="7445" max="7445" width="11.75" style="664" customWidth="1"/>
    <col min="7446" max="7446" width="11" style="664" customWidth="1"/>
    <col min="7447" max="7680" width="9" style="664"/>
    <col min="7681" max="7681" width="5.375" style="664" customWidth="1"/>
    <col min="7682" max="7682" width="13.125" style="664" customWidth="1"/>
    <col min="7683" max="7683" width="43.875" style="664" customWidth="1"/>
    <col min="7684" max="7684" width="11.625" style="664" customWidth="1"/>
    <col min="7685" max="7685" width="10.375" style="664" customWidth="1"/>
    <col min="7686" max="7686" width="11" style="664" customWidth="1"/>
    <col min="7687" max="7688" width="12.125" style="664" customWidth="1"/>
    <col min="7689" max="7689" width="12.875" style="664" customWidth="1"/>
    <col min="7690" max="7691" width="12.125" style="664" customWidth="1"/>
    <col min="7692" max="7692" width="11.375" style="664" customWidth="1"/>
    <col min="7693" max="7694" width="11.875" style="664" customWidth="1"/>
    <col min="7695" max="7695" width="11.75" style="664" customWidth="1"/>
    <col min="7696" max="7696" width="11.375" style="664" customWidth="1"/>
    <col min="7697" max="7697" width="11.875" style="664" customWidth="1"/>
    <col min="7698" max="7698" width="11.375" style="664" customWidth="1"/>
    <col min="7699" max="7699" width="10.375" style="664" customWidth="1"/>
    <col min="7700" max="7700" width="12.875" style="664" customWidth="1"/>
    <col min="7701" max="7701" width="11.75" style="664" customWidth="1"/>
    <col min="7702" max="7702" width="11" style="664" customWidth="1"/>
    <col min="7703" max="7936" width="9" style="664"/>
    <col min="7937" max="7937" width="5.375" style="664" customWidth="1"/>
    <col min="7938" max="7938" width="13.125" style="664" customWidth="1"/>
    <col min="7939" max="7939" width="43.875" style="664" customWidth="1"/>
    <col min="7940" max="7940" width="11.625" style="664" customWidth="1"/>
    <col min="7941" max="7941" width="10.375" style="664" customWidth="1"/>
    <col min="7942" max="7942" width="11" style="664" customWidth="1"/>
    <col min="7943" max="7944" width="12.125" style="664" customWidth="1"/>
    <col min="7945" max="7945" width="12.875" style="664" customWidth="1"/>
    <col min="7946" max="7947" width="12.125" style="664" customWidth="1"/>
    <col min="7948" max="7948" width="11.375" style="664" customWidth="1"/>
    <col min="7949" max="7950" width="11.875" style="664" customWidth="1"/>
    <col min="7951" max="7951" width="11.75" style="664" customWidth="1"/>
    <col min="7952" max="7952" width="11.375" style="664" customWidth="1"/>
    <col min="7953" max="7953" width="11.875" style="664" customWidth="1"/>
    <col min="7954" max="7954" width="11.375" style="664" customWidth="1"/>
    <col min="7955" max="7955" width="10.375" style="664" customWidth="1"/>
    <col min="7956" max="7956" width="12.875" style="664" customWidth="1"/>
    <col min="7957" max="7957" width="11.75" style="664" customWidth="1"/>
    <col min="7958" max="7958" width="11" style="664" customWidth="1"/>
    <col min="7959" max="8192" width="9" style="664"/>
    <col min="8193" max="8193" width="5.375" style="664" customWidth="1"/>
    <col min="8194" max="8194" width="13.125" style="664" customWidth="1"/>
    <col min="8195" max="8195" width="43.875" style="664" customWidth="1"/>
    <col min="8196" max="8196" width="11.625" style="664" customWidth="1"/>
    <col min="8197" max="8197" width="10.375" style="664" customWidth="1"/>
    <col min="8198" max="8198" width="11" style="664" customWidth="1"/>
    <col min="8199" max="8200" width="12.125" style="664" customWidth="1"/>
    <col min="8201" max="8201" width="12.875" style="664" customWidth="1"/>
    <col min="8202" max="8203" width="12.125" style="664" customWidth="1"/>
    <col min="8204" max="8204" width="11.375" style="664" customWidth="1"/>
    <col min="8205" max="8206" width="11.875" style="664" customWidth="1"/>
    <col min="8207" max="8207" width="11.75" style="664" customWidth="1"/>
    <col min="8208" max="8208" width="11.375" style="664" customWidth="1"/>
    <col min="8209" max="8209" width="11.875" style="664" customWidth="1"/>
    <col min="8210" max="8210" width="11.375" style="664" customWidth="1"/>
    <col min="8211" max="8211" width="10.375" style="664" customWidth="1"/>
    <col min="8212" max="8212" width="12.875" style="664" customWidth="1"/>
    <col min="8213" max="8213" width="11.75" style="664" customWidth="1"/>
    <col min="8214" max="8214" width="11" style="664" customWidth="1"/>
    <col min="8215" max="8448" width="9" style="664"/>
    <col min="8449" max="8449" width="5.375" style="664" customWidth="1"/>
    <col min="8450" max="8450" width="13.125" style="664" customWidth="1"/>
    <col min="8451" max="8451" width="43.875" style="664" customWidth="1"/>
    <col min="8452" max="8452" width="11.625" style="664" customWidth="1"/>
    <col min="8453" max="8453" width="10.375" style="664" customWidth="1"/>
    <col min="8454" max="8454" width="11" style="664" customWidth="1"/>
    <col min="8455" max="8456" width="12.125" style="664" customWidth="1"/>
    <col min="8457" max="8457" width="12.875" style="664" customWidth="1"/>
    <col min="8458" max="8459" width="12.125" style="664" customWidth="1"/>
    <col min="8460" max="8460" width="11.375" style="664" customWidth="1"/>
    <col min="8461" max="8462" width="11.875" style="664" customWidth="1"/>
    <col min="8463" max="8463" width="11.75" style="664" customWidth="1"/>
    <col min="8464" max="8464" width="11.375" style="664" customWidth="1"/>
    <col min="8465" max="8465" width="11.875" style="664" customWidth="1"/>
    <col min="8466" max="8466" width="11.375" style="664" customWidth="1"/>
    <col min="8467" max="8467" width="10.375" style="664" customWidth="1"/>
    <col min="8468" max="8468" width="12.875" style="664" customWidth="1"/>
    <col min="8469" max="8469" width="11.75" style="664" customWidth="1"/>
    <col min="8470" max="8470" width="11" style="664" customWidth="1"/>
    <col min="8471" max="8704" width="9" style="664"/>
    <col min="8705" max="8705" width="5.375" style="664" customWidth="1"/>
    <col min="8706" max="8706" width="13.125" style="664" customWidth="1"/>
    <col min="8707" max="8707" width="43.875" style="664" customWidth="1"/>
    <col min="8708" max="8708" width="11.625" style="664" customWidth="1"/>
    <col min="8709" max="8709" width="10.375" style="664" customWidth="1"/>
    <col min="8710" max="8710" width="11" style="664" customWidth="1"/>
    <col min="8711" max="8712" width="12.125" style="664" customWidth="1"/>
    <col min="8713" max="8713" width="12.875" style="664" customWidth="1"/>
    <col min="8714" max="8715" width="12.125" style="664" customWidth="1"/>
    <col min="8716" max="8716" width="11.375" style="664" customWidth="1"/>
    <col min="8717" max="8718" width="11.875" style="664" customWidth="1"/>
    <col min="8719" max="8719" width="11.75" style="664" customWidth="1"/>
    <col min="8720" max="8720" width="11.375" style="664" customWidth="1"/>
    <col min="8721" max="8721" width="11.875" style="664" customWidth="1"/>
    <col min="8722" max="8722" width="11.375" style="664" customWidth="1"/>
    <col min="8723" max="8723" width="10.375" style="664" customWidth="1"/>
    <col min="8724" max="8724" width="12.875" style="664" customWidth="1"/>
    <col min="8725" max="8725" width="11.75" style="664" customWidth="1"/>
    <col min="8726" max="8726" width="11" style="664" customWidth="1"/>
    <col min="8727" max="8960" width="9" style="664"/>
    <col min="8961" max="8961" width="5.375" style="664" customWidth="1"/>
    <col min="8962" max="8962" width="13.125" style="664" customWidth="1"/>
    <col min="8963" max="8963" width="43.875" style="664" customWidth="1"/>
    <col min="8964" max="8964" width="11.625" style="664" customWidth="1"/>
    <col min="8965" max="8965" width="10.375" style="664" customWidth="1"/>
    <col min="8966" max="8966" width="11" style="664" customWidth="1"/>
    <col min="8967" max="8968" width="12.125" style="664" customWidth="1"/>
    <col min="8969" max="8969" width="12.875" style="664" customWidth="1"/>
    <col min="8970" max="8971" width="12.125" style="664" customWidth="1"/>
    <col min="8972" max="8972" width="11.375" style="664" customWidth="1"/>
    <col min="8973" max="8974" width="11.875" style="664" customWidth="1"/>
    <col min="8975" max="8975" width="11.75" style="664" customWidth="1"/>
    <col min="8976" max="8976" width="11.375" style="664" customWidth="1"/>
    <col min="8977" max="8977" width="11.875" style="664" customWidth="1"/>
    <col min="8978" max="8978" width="11.375" style="664" customWidth="1"/>
    <col min="8979" max="8979" width="10.375" style="664" customWidth="1"/>
    <col min="8980" max="8980" width="12.875" style="664" customWidth="1"/>
    <col min="8981" max="8981" width="11.75" style="664" customWidth="1"/>
    <col min="8982" max="8982" width="11" style="664" customWidth="1"/>
    <col min="8983" max="9216" width="9" style="664"/>
    <col min="9217" max="9217" width="5.375" style="664" customWidth="1"/>
    <col min="9218" max="9218" width="13.125" style="664" customWidth="1"/>
    <col min="9219" max="9219" width="43.875" style="664" customWidth="1"/>
    <col min="9220" max="9220" width="11.625" style="664" customWidth="1"/>
    <col min="9221" max="9221" width="10.375" style="664" customWidth="1"/>
    <col min="9222" max="9222" width="11" style="664" customWidth="1"/>
    <col min="9223" max="9224" width="12.125" style="664" customWidth="1"/>
    <col min="9225" max="9225" width="12.875" style="664" customWidth="1"/>
    <col min="9226" max="9227" width="12.125" style="664" customWidth="1"/>
    <col min="9228" max="9228" width="11.375" style="664" customWidth="1"/>
    <col min="9229" max="9230" width="11.875" style="664" customWidth="1"/>
    <col min="9231" max="9231" width="11.75" style="664" customWidth="1"/>
    <col min="9232" max="9232" width="11.375" style="664" customWidth="1"/>
    <col min="9233" max="9233" width="11.875" style="664" customWidth="1"/>
    <col min="9234" max="9234" width="11.375" style="664" customWidth="1"/>
    <col min="9235" max="9235" width="10.375" style="664" customWidth="1"/>
    <col min="9236" max="9236" width="12.875" style="664" customWidth="1"/>
    <col min="9237" max="9237" width="11.75" style="664" customWidth="1"/>
    <col min="9238" max="9238" width="11" style="664" customWidth="1"/>
    <col min="9239" max="9472" width="9" style="664"/>
    <col min="9473" max="9473" width="5.375" style="664" customWidth="1"/>
    <col min="9474" max="9474" width="13.125" style="664" customWidth="1"/>
    <col min="9475" max="9475" width="43.875" style="664" customWidth="1"/>
    <col min="9476" max="9476" width="11.625" style="664" customWidth="1"/>
    <col min="9477" max="9477" width="10.375" style="664" customWidth="1"/>
    <col min="9478" max="9478" width="11" style="664" customWidth="1"/>
    <col min="9479" max="9480" width="12.125" style="664" customWidth="1"/>
    <col min="9481" max="9481" width="12.875" style="664" customWidth="1"/>
    <col min="9482" max="9483" width="12.125" style="664" customWidth="1"/>
    <col min="9484" max="9484" width="11.375" style="664" customWidth="1"/>
    <col min="9485" max="9486" width="11.875" style="664" customWidth="1"/>
    <col min="9487" max="9487" width="11.75" style="664" customWidth="1"/>
    <col min="9488" max="9488" width="11.375" style="664" customWidth="1"/>
    <col min="9489" max="9489" width="11.875" style="664" customWidth="1"/>
    <col min="9490" max="9490" width="11.375" style="664" customWidth="1"/>
    <col min="9491" max="9491" width="10.375" style="664" customWidth="1"/>
    <col min="9492" max="9492" width="12.875" style="664" customWidth="1"/>
    <col min="9493" max="9493" width="11.75" style="664" customWidth="1"/>
    <col min="9494" max="9494" width="11" style="664" customWidth="1"/>
    <col min="9495" max="9728" width="9" style="664"/>
    <col min="9729" max="9729" width="5.375" style="664" customWidth="1"/>
    <col min="9730" max="9730" width="13.125" style="664" customWidth="1"/>
    <col min="9731" max="9731" width="43.875" style="664" customWidth="1"/>
    <col min="9732" max="9732" width="11.625" style="664" customWidth="1"/>
    <col min="9733" max="9733" width="10.375" style="664" customWidth="1"/>
    <col min="9734" max="9734" width="11" style="664" customWidth="1"/>
    <col min="9735" max="9736" width="12.125" style="664" customWidth="1"/>
    <col min="9737" max="9737" width="12.875" style="664" customWidth="1"/>
    <col min="9738" max="9739" width="12.125" style="664" customWidth="1"/>
    <col min="9740" max="9740" width="11.375" style="664" customWidth="1"/>
    <col min="9741" max="9742" width="11.875" style="664" customWidth="1"/>
    <col min="9743" max="9743" width="11.75" style="664" customWidth="1"/>
    <col min="9744" max="9744" width="11.375" style="664" customWidth="1"/>
    <col min="9745" max="9745" width="11.875" style="664" customWidth="1"/>
    <col min="9746" max="9746" width="11.375" style="664" customWidth="1"/>
    <col min="9747" max="9747" width="10.375" style="664" customWidth="1"/>
    <col min="9748" max="9748" width="12.875" style="664" customWidth="1"/>
    <col min="9749" max="9749" width="11.75" style="664" customWidth="1"/>
    <col min="9750" max="9750" width="11" style="664" customWidth="1"/>
    <col min="9751" max="9984" width="9" style="664"/>
    <col min="9985" max="9985" width="5.375" style="664" customWidth="1"/>
    <col min="9986" max="9986" width="13.125" style="664" customWidth="1"/>
    <col min="9987" max="9987" width="43.875" style="664" customWidth="1"/>
    <col min="9988" max="9988" width="11.625" style="664" customWidth="1"/>
    <col min="9989" max="9989" width="10.375" style="664" customWidth="1"/>
    <col min="9990" max="9990" width="11" style="664" customWidth="1"/>
    <col min="9991" max="9992" width="12.125" style="664" customWidth="1"/>
    <col min="9993" max="9993" width="12.875" style="664" customWidth="1"/>
    <col min="9994" max="9995" width="12.125" style="664" customWidth="1"/>
    <col min="9996" max="9996" width="11.375" style="664" customWidth="1"/>
    <col min="9997" max="9998" width="11.875" style="664" customWidth="1"/>
    <col min="9999" max="9999" width="11.75" style="664" customWidth="1"/>
    <col min="10000" max="10000" width="11.375" style="664" customWidth="1"/>
    <col min="10001" max="10001" width="11.875" style="664" customWidth="1"/>
    <col min="10002" max="10002" width="11.375" style="664" customWidth="1"/>
    <col min="10003" max="10003" width="10.375" style="664" customWidth="1"/>
    <col min="10004" max="10004" width="12.875" style="664" customWidth="1"/>
    <col min="10005" max="10005" width="11.75" style="664" customWidth="1"/>
    <col min="10006" max="10006" width="11" style="664" customWidth="1"/>
    <col min="10007" max="10240" width="9" style="664"/>
    <col min="10241" max="10241" width="5.375" style="664" customWidth="1"/>
    <col min="10242" max="10242" width="13.125" style="664" customWidth="1"/>
    <col min="10243" max="10243" width="43.875" style="664" customWidth="1"/>
    <col min="10244" max="10244" width="11.625" style="664" customWidth="1"/>
    <col min="10245" max="10245" width="10.375" style="664" customWidth="1"/>
    <col min="10246" max="10246" width="11" style="664" customWidth="1"/>
    <col min="10247" max="10248" width="12.125" style="664" customWidth="1"/>
    <col min="10249" max="10249" width="12.875" style="664" customWidth="1"/>
    <col min="10250" max="10251" width="12.125" style="664" customWidth="1"/>
    <col min="10252" max="10252" width="11.375" style="664" customWidth="1"/>
    <col min="10253" max="10254" width="11.875" style="664" customWidth="1"/>
    <col min="10255" max="10255" width="11.75" style="664" customWidth="1"/>
    <col min="10256" max="10256" width="11.375" style="664" customWidth="1"/>
    <col min="10257" max="10257" width="11.875" style="664" customWidth="1"/>
    <col min="10258" max="10258" width="11.375" style="664" customWidth="1"/>
    <col min="10259" max="10259" width="10.375" style="664" customWidth="1"/>
    <col min="10260" max="10260" width="12.875" style="664" customWidth="1"/>
    <col min="10261" max="10261" width="11.75" style="664" customWidth="1"/>
    <col min="10262" max="10262" width="11" style="664" customWidth="1"/>
    <col min="10263" max="10496" width="9" style="664"/>
    <col min="10497" max="10497" width="5.375" style="664" customWidth="1"/>
    <col min="10498" max="10498" width="13.125" style="664" customWidth="1"/>
    <col min="10499" max="10499" width="43.875" style="664" customWidth="1"/>
    <col min="10500" max="10500" width="11.625" style="664" customWidth="1"/>
    <col min="10501" max="10501" width="10.375" style="664" customWidth="1"/>
    <col min="10502" max="10502" width="11" style="664" customWidth="1"/>
    <col min="10503" max="10504" width="12.125" style="664" customWidth="1"/>
    <col min="10505" max="10505" width="12.875" style="664" customWidth="1"/>
    <col min="10506" max="10507" width="12.125" style="664" customWidth="1"/>
    <col min="10508" max="10508" width="11.375" style="664" customWidth="1"/>
    <col min="10509" max="10510" width="11.875" style="664" customWidth="1"/>
    <col min="10511" max="10511" width="11.75" style="664" customWidth="1"/>
    <col min="10512" max="10512" width="11.375" style="664" customWidth="1"/>
    <col min="10513" max="10513" width="11.875" style="664" customWidth="1"/>
    <col min="10514" max="10514" width="11.375" style="664" customWidth="1"/>
    <col min="10515" max="10515" width="10.375" style="664" customWidth="1"/>
    <col min="10516" max="10516" width="12.875" style="664" customWidth="1"/>
    <col min="10517" max="10517" width="11.75" style="664" customWidth="1"/>
    <col min="10518" max="10518" width="11" style="664" customWidth="1"/>
    <col min="10519" max="10752" width="9" style="664"/>
    <col min="10753" max="10753" width="5.375" style="664" customWidth="1"/>
    <col min="10754" max="10754" width="13.125" style="664" customWidth="1"/>
    <col min="10755" max="10755" width="43.875" style="664" customWidth="1"/>
    <col min="10756" max="10756" width="11.625" style="664" customWidth="1"/>
    <col min="10757" max="10757" width="10.375" style="664" customWidth="1"/>
    <col min="10758" max="10758" width="11" style="664" customWidth="1"/>
    <col min="10759" max="10760" width="12.125" style="664" customWidth="1"/>
    <col min="10761" max="10761" width="12.875" style="664" customWidth="1"/>
    <col min="10762" max="10763" width="12.125" style="664" customWidth="1"/>
    <col min="10764" max="10764" width="11.375" style="664" customWidth="1"/>
    <col min="10765" max="10766" width="11.875" style="664" customWidth="1"/>
    <col min="10767" max="10767" width="11.75" style="664" customWidth="1"/>
    <col min="10768" max="10768" width="11.375" style="664" customWidth="1"/>
    <col min="10769" max="10769" width="11.875" style="664" customWidth="1"/>
    <col min="10770" max="10770" width="11.375" style="664" customWidth="1"/>
    <col min="10771" max="10771" width="10.375" style="664" customWidth="1"/>
    <col min="10772" max="10772" width="12.875" style="664" customWidth="1"/>
    <col min="10773" max="10773" width="11.75" style="664" customWidth="1"/>
    <col min="10774" max="10774" width="11" style="664" customWidth="1"/>
    <col min="10775" max="11008" width="9" style="664"/>
    <col min="11009" max="11009" width="5.375" style="664" customWidth="1"/>
    <col min="11010" max="11010" width="13.125" style="664" customWidth="1"/>
    <col min="11011" max="11011" width="43.875" style="664" customWidth="1"/>
    <col min="11012" max="11012" width="11.625" style="664" customWidth="1"/>
    <col min="11013" max="11013" width="10.375" style="664" customWidth="1"/>
    <col min="11014" max="11014" width="11" style="664" customWidth="1"/>
    <col min="11015" max="11016" width="12.125" style="664" customWidth="1"/>
    <col min="11017" max="11017" width="12.875" style="664" customWidth="1"/>
    <col min="11018" max="11019" width="12.125" style="664" customWidth="1"/>
    <col min="11020" max="11020" width="11.375" style="664" customWidth="1"/>
    <col min="11021" max="11022" width="11.875" style="664" customWidth="1"/>
    <col min="11023" max="11023" width="11.75" style="664" customWidth="1"/>
    <col min="11024" max="11024" width="11.375" style="664" customWidth="1"/>
    <col min="11025" max="11025" width="11.875" style="664" customWidth="1"/>
    <col min="11026" max="11026" width="11.375" style="664" customWidth="1"/>
    <col min="11027" max="11027" width="10.375" style="664" customWidth="1"/>
    <col min="11028" max="11028" width="12.875" style="664" customWidth="1"/>
    <col min="11029" max="11029" width="11.75" style="664" customWidth="1"/>
    <col min="11030" max="11030" width="11" style="664" customWidth="1"/>
    <col min="11031" max="11264" width="9" style="664"/>
    <col min="11265" max="11265" width="5.375" style="664" customWidth="1"/>
    <col min="11266" max="11266" width="13.125" style="664" customWidth="1"/>
    <col min="11267" max="11267" width="43.875" style="664" customWidth="1"/>
    <col min="11268" max="11268" width="11.625" style="664" customWidth="1"/>
    <col min="11269" max="11269" width="10.375" style="664" customWidth="1"/>
    <col min="11270" max="11270" width="11" style="664" customWidth="1"/>
    <col min="11271" max="11272" width="12.125" style="664" customWidth="1"/>
    <col min="11273" max="11273" width="12.875" style="664" customWidth="1"/>
    <col min="11274" max="11275" width="12.125" style="664" customWidth="1"/>
    <col min="11276" max="11276" width="11.375" style="664" customWidth="1"/>
    <col min="11277" max="11278" width="11.875" style="664" customWidth="1"/>
    <col min="11279" max="11279" width="11.75" style="664" customWidth="1"/>
    <col min="11280" max="11280" width="11.375" style="664" customWidth="1"/>
    <col min="11281" max="11281" width="11.875" style="664" customWidth="1"/>
    <col min="11282" max="11282" width="11.375" style="664" customWidth="1"/>
    <col min="11283" max="11283" width="10.375" style="664" customWidth="1"/>
    <col min="11284" max="11284" width="12.875" style="664" customWidth="1"/>
    <col min="11285" max="11285" width="11.75" style="664" customWidth="1"/>
    <col min="11286" max="11286" width="11" style="664" customWidth="1"/>
    <col min="11287" max="11520" width="9" style="664"/>
    <col min="11521" max="11521" width="5.375" style="664" customWidth="1"/>
    <col min="11522" max="11522" width="13.125" style="664" customWidth="1"/>
    <col min="11523" max="11523" width="43.875" style="664" customWidth="1"/>
    <col min="11524" max="11524" width="11.625" style="664" customWidth="1"/>
    <col min="11525" max="11525" width="10.375" style="664" customWidth="1"/>
    <col min="11526" max="11526" width="11" style="664" customWidth="1"/>
    <col min="11527" max="11528" width="12.125" style="664" customWidth="1"/>
    <col min="11529" max="11529" width="12.875" style="664" customWidth="1"/>
    <col min="11530" max="11531" width="12.125" style="664" customWidth="1"/>
    <col min="11532" max="11532" width="11.375" style="664" customWidth="1"/>
    <col min="11533" max="11534" width="11.875" style="664" customWidth="1"/>
    <col min="11535" max="11535" width="11.75" style="664" customWidth="1"/>
    <col min="11536" max="11536" width="11.375" style="664" customWidth="1"/>
    <col min="11537" max="11537" width="11.875" style="664" customWidth="1"/>
    <col min="11538" max="11538" width="11.375" style="664" customWidth="1"/>
    <col min="11539" max="11539" width="10.375" style="664" customWidth="1"/>
    <col min="11540" max="11540" width="12.875" style="664" customWidth="1"/>
    <col min="11541" max="11541" width="11.75" style="664" customWidth="1"/>
    <col min="11542" max="11542" width="11" style="664" customWidth="1"/>
    <col min="11543" max="11776" width="9" style="664"/>
    <col min="11777" max="11777" width="5.375" style="664" customWidth="1"/>
    <col min="11778" max="11778" width="13.125" style="664" customWidth="1"/>
    <col min="11779" max="11779" width="43.875" style="664" customWidth="1"/>
    <col min="11780" max="11780" width="11.625" style="664" customWidth="1"/>
    <col min="11781" max="11781" width="10.375" style="664" customWidth="1"/>
    <col min="11782" max="11782" width="11" style="664" customWidth="1"/>
    <col min="11783" max="11784" width="12.125" style="664" customWidth="1"/>
    <col min="11785" max="11785" width="12.875" style="664" customWidth="1"/>
    <col min="11786" max="11787" width="12.125" style="664" customWidth="1"/>
    <col min="11788" max="11788" width="11.375" style="664" customWidth="1"/>
    <col min="11789" max="11790" width="11.875" style="664" customWidth="1"/>
    <col min="11791" max="11791" width="11.75" style="664" customWidth="1"/>
    <col min="11792" max="11792" width="11.375" style="664" customWidth="1"/>
    <col min="11793" max="11793" width="11.875" style="664" customWidth="1"/>
    <col min="11794" max="11794" width="11.375" style="664" customWidth="1"/>
    <col min="11795" max="11795" width="10.375" style="664" customWidth="1"/>
    <col min="11796" max="11796" width="12.875" style="664" customWidth="1"/>
    <col min="11797" max="11797" width="11.75" style="664" customWidth="1"/>
    <col min="11798" max="11798" width="11" style="664" customWidth="1"/>
    <col min="11799" max="12032" width="9" style="664"/>
    <col min="12033" max="12033" width="5.375" style="664" customWidth="1"/>
    <col min="12034" max="12034" width="13.125" style="664" customWidth="1"/>
    <col min="12035" max="12035" width="43.875" style="664" customWidth="1"/>
    <col min="12036" max="12036" width="11.625" style="664" customWidth="1"/>
    <col min="12037" max="12037" width="10.375" style="664" customWidth="1"/>
    <col min="12038" max="12038" width="11" style="664" customWidth="1"/>
    <col min="12039" max="12040" width="12.125" style="664" customWidth="1"/>
    <col min="12041" max="12041" width="12.875" style="664" customWidth="1"/>
    <col min="12042" max="12043" width="12.125" style="664" customWidth="1"/>
    <col min="12044" max="12044" width="11.375" style="664" customWidth="1"/>
    <col min="12045" max="12046" width="11.875" style="664" customWidth="1"/>
    <col min="12047" max="12047" width="11.75" style="664" customWidth="1"/>
    <col min="12048" max="12048" width="11.375" style="664" customWidth="1"/>
    <col min="12049" max="12049" width="11.875" style="664" customWidth="1"/>
    <col min="12050" max="12050" width="11.375" style="664" customWidth="1"/>
    <col min="12051" max="12051" width="10.375" style="664" customWidth="1"/>
    <col min="12052" max="12052" width="12.875" style="664" customWidth="1"/>
    <col min="12053" max="12053" width="11.75" style="664" customWidth="1"/>
    <col min="12054" max="12054" width="11" style="664" customWidth="1"/>
    <col min="12055" max="12288" width="9" style="664"/>
    <col min="12289" max="12289" width="5.375" style="664" customWidth="1"/>
    <col min="12290" max="12290" width="13.125" style="664" customWidth="1"/>
    <col min="12291" max="12291" width="43.875" style="664" customWidth="1"/>
    <col min="12292" max="12292" width="11.625" style="664" customWidth="1"/>
    <col min="12293" max="12293" width="10.375" style="664" customWidth="1"/>
    <col min="12294" max="12294" width="11" style="664" customWidth="1"/>
    <col min="12295" max="12296" width="12.125" style="664" customWidth="1"/>
    <col min="12297" max="12297" width="12.875" style="664" customWidth="1"/>
    <col min="12298" max="12299" width="12.125" style="664" customWidth="1"/>
    <col min="12300" max="12300" width="11.375" style="664" customWidth="1"/>
    <col min="12301" max="12302" width="11.875" style="664" customWidth="1"/>
    <col min="12303" max="12303" width="11.75" style="664" customWidth="1"/>
    <col min="12304" max="12304" width="11.375" style="664" customWidth="1"/>
    <col min="12305" max="12305" width="11.875" style="664" customWidth="1"/>
    <col min="12306" max="12306" width="11.375" style="664" customWidth="1"/>
    <col min="12307" max="12307" width="10.375" style="664" customWidth="1"/>
    <col min="12308" max="12308" width="12.875" style="664" customWidth="1"/>
    <col min="12309" max="12309" width="11.75" style="664" customWidth="1"/>
    <col min="12310" max="12310" width="11" style="664" customWidth="1"/>
    <col min="12311" max="12544" width="9" style="664"/>
    <col min="12545" max="12545" width="5.375" style="664" customWidth="1"/>
    <col min="12546" max="12546" width="13.125" style="664" customWidth="1"/>
    <col min="12547" max="12547" width="43.875" style="664" customWidth="1"/>
    <col min="12548" max="12548" width="11.625" style="664" customWidth="1"/>
    <col min="12549" max="12549" width="10.375" style="664" customWidth="1"/>
    <col min="12550" max="12550" width="11" style="664" customWidth="1"/>
    <col min="12551" max="12552" width="12.125" style="664" customWidth="1"/>
    <col min="12553" max="12553" width="12.875" style="664" customWidth="1"/>
    <col min="12554" max="12555" width="12.125" style="664" customWidth="1"/>
    <col min="12556" max="12556" width="11.375" style="664" customWidth="1"/>
    <col min="12557" max="12558" width="11.875" style="664" customWidth="1"/>
    <col min="12559" max="12559" width="11.75" style="664" customWidth="1"/>
    <col min="12560" max="12560" width="11.375" style="664" customWidth="1"/>
    <col min="12561" max="12561" width="11.875" style="664" customWidth="1"/>
    <col min="12562" max="12562" width="11.375" style="664" customWidth="1"/>
    <col min="12563" max="12563" width="10.375" style="664" customWidth="1"/>
    <col min="12564" max="12564" width="12.875" style="664" customWidth="1"/>
    <col min="12565" max="12565" width="11.75" style="664" customWidth="1"/>
    <col min="12566" max="12566" width="11" style="664" customWidth="1"/>
    <col min="12567" max="12800" width="9" style="664"/>
    <col min="12801" max="12801" width="5.375" style="664" customWidth="1"/>
    <col min="12802" max="12802" width="13.125" style="664" customWidth="1"/>
    <col min="12803" max="12803" width="43.875" style="664" customWidth="1"/>
    <col min="12804" max="12804" width="11.625" style="664" customWidth="1"/>
    <col min="12805" max="12805" width="10.375" style="664" customWidth="1"/>
    <col min="12806" max="12806" width="11" style="664" customWidth="1"/>
    <col min="12807" max="12808" width="12.125" style="664" customWidth="1"/>
    <col min="12809" max="12809" width="12.875" style="664" customWidth="1"/>
    <col min="12810" max="12811" width="12.125" style="664" customWidth="1"/>
    <col min="12812" max="12812" width="11.375" style="664" customWidth="1"/>
    <col min="12813" max="12814" width="11.875" style="664" customWidth="1"/>
    <col min="12815" max="12815" width="11.75" style="664" customWidth="1"/>
    <col min="12816" max="12816" width="11.375" style="664" customWidth="1"/>
    <col min="12817" max="12817" width="11.875" style="664" customWidth="1"/>
    <col min="12818" max="12818" width="11.375" style="664" customWidth="1"/>
    <col min="12819" max="12819" width="10.375" style="664" customWidth="1"/>
    <col min="12820" max="12820" width="12.875" style="664" customWidth="1"/>
    <col min="12821" max="12821" width="11.75" style="664" customWidth="1"/>
    <col min="12822" max="12822" width="11" style="664" customWidth="1"/>
    <col min="12823" max="13056" width="9" style="664"/>
    <col min="13057" max="13057" width="5.375" style="664" customWidth="1"/>
    <col min="13058" max="13058" width="13.125" style="664" customWidth="1"/>
    <col min="13059" max="13059" width="43.875" style="664" customWidth="1"/>
    <col min="13060" max="13060" width="11.625" style="664" customWidth="1"/>
    <col min="13061" max="13061" width="10.375" style="664" customWidth="1"/>
    <col min="13062" max="13062" width="11" style="664" customWidth="1"/>
    <col min="13063" max="13064" width="12.125" style="664" customWidth="1"/>
    <col min="13065" max="13065" width="12.875" style="664" customWidth="1"/>
    <col min="13066" max="13067" width="12.125" style="664" customWidth="1"/>
    <col min="13068" max="13068" width="11.375" style="664" customWidth="1"/>
    <col min="13069" max="13070" width="11.875" style="664" customWidth="1"/>
    <col min="13071" max="13071" width="11.75" style="664" customWidth="1"/>
    <col min="13072" max="13072" width="11.375" style="664" customWidth="1"/>
    <col min="13073" max="13073" width="11.875" style="664" customWidth="1"/>
    <col min="13074" max="13074" width="11.375" style="664" customWidth="1"/>
    <col min="13075" max="13075" width="10.375" style="664" customWidth="1"/>
    <col min="13076" max="13076" width="12.875" style="664" customWidth="1"/>
    <col min="13077" max="13077" width="11.75" style="664" customWidth="1"/>
    <col min="13078" max="13078" width="11" style="664" customWidth="1"/>
    <col min="13079" max="13312" width="9" style="664"/>
    <col min="13313" max="13313" width="5.375" style="664" customWidth="1"/>
    <col min="13314" max="13314" width="13.125" style="664" customWidth="1"/>
    <col min="13315" max="13315" width="43.875" style="664" customWidth="1"/>
    <col min="13316" max="13316" width="11.625" style="664" customWidth="1"/>
    <col min="13317" max="13317" width="10.375" style="664" customWidth="1"/>
    <col min="13318" max="13318" width="11" style="664" customWidth="1"/>
    <col min="13319" max="13320" width="12.125" style="664" customWidth="1"/>
    <col min="13321" max="13321" width="12.875" style="664" customWidth="1"/>
    <col min="13322" max="13323" width="12.125" style="664" customWidth="1"/>
    <col min="13324" max="13324" width="11.375" style="664" customWidth="1"/>
    <col min="13325" max="13326" width="11.875" style="664" customWidth="1"/>
    <col min="13327" max="13327" width="11.75" style="664" customWidth="1"/>
    <col min="13328" max="13328" width="11.375" style="664" customWidth="1"/>
    <col min="13329" max="13329" width="11.875" style="664" customWidth="1"/>
    <col min="13330" max="13330" width="11.375" style="664" customWidth="1"/>
    <col min="13331" max="13331" width="10.375" style="664" customWidth="1"/>
    <col min="13332" max="13332" width="12.875" style="664" customWidth="1"/>
    <col min="13333" max="13333" width="11.75" style="664" customWidth="1"/>
    <col min="13334" max="13334" width="11" style="664" customWidth="1"/>
    <col min="13335" max="13568" width="9" style="664"/>
    <col min="13569" max="13569" width="5.375" style="664" customWidth="1"/>
    <col min="13570" max="13570" width="13.125" style="664" customWidth="1"/>
    <col min="13571" max="13571" width="43.875" style="664" customWidth="1"/>
    <col min="13572" max="13572" width="11.625" style="664" customWidth="1"/>
    <col min="13573" max="13573" width="10.375" style="664" customWidth="1"/>
    <col min="13574" max="13574" width="11" style="664" customWidth="1"/>
    <col min="13575" max="13576" width="12.125" style="664" customWidth="1"/>
    <col min="13577" max="13577" width="12.875" style="664" customWidth="1"/>
    <col min="13578" max="13579" width="12.125" style="664" customWidth="1"/>
    <col min="13580" max="13580" width="11.375" style="664" customWidth="1"/>
    <col min="13581" max="13582" width="11.875" style="664" customWidth="1"/>
    <col min="13583" max="13583" width="11.75" style="664" customWidth="1"/>
    <col min="13584" max="13584" width="11.375" style="664" customWidth="1"/>
    <col min="13585" max="13585" width="11.875" style="664" customWidth="1"/>
    <col min="13586" max="13586" width="11.375" style="664" customWidth="1"/>
    <col min="13587" max="13587" width="10.375" style="664" customWidth="1"/>
    <col min="13588" max="13588" width="12.875" style="664" customWidth="1"/>
    <col min="13589" max="13589" width="11.75" style="664" customWidth="1"/>
    <col min="13590" max="13590" width="11" style="664" customWidth="1"/>
    <col min="13591" max="13824" width="9" style="664"/>
    <col min="13825" max="13825" width="5.375" style="664" customWidth="1"/>
    <col min="13826" max="13826" width="13.125" style="664" customWidth="1"/>
    <col min="13827" max="13827" width="43.875" style="664" customWidth="1"/>
    <col min="13828" max="13828" width="11.625" style="664" customWidth="1"/>
    <col min="13829" max="13829" width="10.375" style="664" customWidth="1"/>
    <col min="13830" max="13830" width="11" style="664" customWidth="1"/>
    <col min="13831" max="13832" width="12.125" style="664" customWidth="1"/>
    <col min="13833" max="13833" width="12.875" style="664" customWidth="1"/>
    <col min="13834" max="13835" width="12.125" style="664" customWidth="1"/>
    <col min="13836" max="13836" width="11.375" style="664" customWidth="1"/>
    <col min="13837" max="13838" width="11.875" style="664" customWidth="1"/>
    <col min="13839" max="13839" width="11.75" style="664" customWidth="1"/>
    <col min="13840" max="13840" width="11.375" style="664" customWidth="1"/>
    <col min="13841" max="13841" width="11.875" style="664" customWidth="1"/>
    <col min="13842" max="13842" width="11.375" style="664" customWidth="1"/>
    <col min="13843" max="13843" width="10.375" style="664" customWidth="1"/>
    <col min="13844" max="13844" width="12.875" style="664" customWidth="1"/>
    <col min="13845" max="13845" width="11.75" style="664" customWidth="1"/>
    <col min="13846" max="13846" width="11" style="664" customWidth="1"/>
    <col min="13847" max="14080" width="9" style="664"/>
    <col min="14081" max="14081" width="5.375" style="664" customWidth="1"/>
    <col min="14082" max="14082" width="13.125" style="664" customWidth="1"/>
    <col min="14083" max="14083" width="43.875" style="664" customWidth="1"/>
    <col min="14084" max="14084" width="11.625" style="664" customWidth="1"/>
    <col min="14085" max="14085" width="10.375" style="664" customWidth="1"/>
    <col min="14086" max="14086" width="11" style="664" customWidth="1"/>
    <col min="14087" max="14088" width="12.125" style="664" customWidth="1"/>
    <col min="14089" max="14089" width="12.875" style="664" customWidth="1"/>
    <col min="14090" max="14091" width="12.125" style="664" customWidth="1"/>
    <col min="14092" max="14092" width="11.375" style="664" customWidth="1"/>
    <col min="14093" max="14094" width="11.875" style="664" customWidth="1"/>
    <col min="14095" max="14095" width="11.75" style="664" customWidth="1"/>
    <col min="14096" max="14096" width="11.375" style="664" customWidth="1"/>
    <col min="14097" max="14097" width="11.875" style="664" customWidth="1"/>
    <col min="14098" max="14098" width="11.375" style="664" customWidth="1"/>
    <col min="14099" max="14099" width="10.375" style="664" customWidth="1"/>
    <col min="14100" max="14100" width="12.875" style="664" customWidth="1"/>
    <col min="14101" max="14101" width="11.75" style="664" customWidth="1"/>
    <col min="14102" max="14102" width="11" style="664" customWidth="1"/>
    <col min="14103" max="14336" width="9" style="664"/>
    <col min="14337" max="14337" width="5.375" style="664" customWidth="1"/>
    <col min="14338" max="14338" width="13.125" style="664" customWidth="1"/>
    <col min="14339" max="14339" width="43.875" style="664" customWidth="1"/>
    <col min="14340" max="14340" width="11.625" style="664" customWidth="1"/>
    <col min="14341" max="14341" width="10.375" style="664" customWidth="1"/>
    <col min="14342" max="14342" width="11" style="664" customWidth="1"/>
    <col min="14343" max="14344" width="12.125" style="664" customWidth="1"/>
    <col min="14345" max="14345" width="12.875" style="664" customWidth="1"/>
    <col min="14346" max="14347" width="12.125" style="664" customWidth="1"/>
    <col min="14348" max="14348" width="11.375" style="664" customWidth="1"/>
    <col min="14349" max="14350" width="11.875" style="664" customWidth="1"/>
    <col min="14351" max="14351" width="11.75" style="664" customWidth="1"/>
    <col min="14352" max="14352" width="11.375" style="664" customWidth="1"/>
    <col min="14353" max="14353" width="11.875" style="664" customWidth="1"/>
    <col min="14354" max="14354" width="11.375" style="664" customWidth="1"/>
    <col min="14355" max="14355" width="10.375" style="664" customWidth="1"/>
    <col min="14356" max="14356" width="12.875" style="664" customWidth="1"/>
    <col min="14357" max="14357" width="11.75" style="664" customWidth="1"/>
    <col min="14358" max="14358" width="11" style="664" customWidth="1"/>
    <col min="14359" max="14592" width="9" style="664"/>
    <col min="14593" max="14593" width="5.375" style="664" customWidth="1"/>
    <col min="14594" max="14594" width="13.125" style="664" customWidth="1"/>
    <col min="14595" max="14595" width="43.875" style="664" customWidth="1"/>
    <col min="14596" max="14596" width="11.625" style="664" customWidth="1"/>
    <col min="14597" max="14597" width="10.375" style="664" customWidth="1"/>
    <col min="14598" max="14598" width="11" style="664" customWidth="1"/>
    <col min="14599" max="14600" width="12.125" style="664" customWidth="1"/>
    <col min="14601" max="14601" width="12.875" style="664" customWidth="1"/>
    <col min="14602" max="14603" width="12.125" style="664" customWidth="1"/>
    <col min="14604" max="14604" width="11.375" style="664" customWidth="1"/>
    <col min="14605" max="14606" width="11.875" style="664" customWidth="1"/>
    <col min="14607" max="14607" width="11.75" style="664" customWidth="1"/>
    <col min="14608" max="14608" width="11.375" style="664" customWidth="1"/>
    <col min="14609" max="14609" width="11.875" style="664" customWidth="1"/>
    <col min="14610" max="14610" width="11.375" style="664" customWidth="1"/>
    <col min="14611" max="14611" width="10.375" style="664" customWidth="1"/>
    <col min="14612" max="14612" width="12.875" style="664" customWidth="1"/>
    <col min="14613" max="14613" width="11.75" style="664" customWidth="1"/>
    <col min="14614" max="14614" width="11" style="664" customWidth="1"/>
    <col min="14615" max="14848" width="9" style="664"/>
    <col min="14849" max="14849" width="5.375" style="664" customWidth="1"/>
    <col min="14850" max="14850" width="13.125" style="664" customWidth="1"/>
    <col min="14851" max="14851" width="43.875" style="664" customWidth="1"/>
    <col min="14852" max="14852" width="11.625" style="664" customWidth="1"/>
    <col min="14853" max="14853" width="10.375" style="664" customWidth="1"/>
    <col min="14854" max="14854" width="11" style="664" customWidth="1"/>
    <col min="14855" max="14856" width="12.125" style="664" customWidth="1"/>
    <col min="14857" max="14857" width="12.875" style="664" customWidth="1"/>
    <col min="14858" max="14859" width="12.125" style="664" customWidth="1"/>
    <col min="14860" max="14860" width="11.375" style="664" customWidth="1"/>
    <col min="14861" max="14862" width="11.875" style="664" customWidth="1"/>
    <col min="14863" max="14863" width="11.75" style="664" customWidth="1"/>
    <col min="14864" max="14864" width="11.375" style="664" customWidth="1"/>
    <col min="14865" max="14865" width="11.875" style="664" customWidth="1"/>
    <col min="14866" max="14866" width="11.375" style="664" customWidth="1"/>
    <col min="14867" max="14867" width="10.375" style="664" customWidth="1"/>
    <col min="14868" max="14868" width="12.875" style="664" customWidth="1"/>
    <col min="14869" max="14869" width="11.75" style="664" customWidth="1"/>
    <col min="14870" max="14870" width="11" style="664" customWidth="1"/>
    <col min="14871" max="15104" width="9" style="664"/>
    <col min="15105" max="15105" width="5.375" style="664" customWidth="1"/>
    <col min="15106" max="15106" width="13.125" style="664" customWidth="1"/>
    <col min="15107" max="15107" width="43.875" style="664" customWidth="1"/>
    <col min="15108" max="15108" width="11.625" style="664" customWidth="1"/>
    <col min="15109" max="15109" width="10.375" style="664" customWidth="1"/>
    <col min="15110" max="15110" width="11" style="664" customWidth="1"/>
    <col min="15111" max="15112" width="12.125" style="664" customWidth="1"/>
    <col min="15113" max="15113" width="12.875" style="664" customWidth="1"/>
    <col min="15114" max="15115" width="12.125" style="664" customWidth="1"/>
    <col min="15116" max="15116" width="11.375" style="664" customWidth="1"/>
    <col min="15117" max="15118" width="11.875" style="664" customWidth="1"/>
    <col min="15119" max="15119" width="11.75" style="664" customWidth="1"/>
    <col min="15120" max="15120" width="11.375" style="664" customWidth="1"/>
    <col min="15121" max="15121" width="11.875" style="664" customWidth="1"/>
    <col min="15122" max="15122" width="11.375" style="664" customWidth="1"/>
    <col min="15123" max="15123" width="10.375" style="664" customWidth="1"/>
    <col min="15124" max="15124" width="12.875" style="664" customWidth="1"/>
    <col min="15125" max="15125" width="11.75" style="664" customWidth="1"/>
    <col min="15126" max="15126" width="11" style="664" customWidth="1"/>
    <col min="15127" max="15360" width="9" style="664"/>
    <col min="15361" max="15361" width="5.375" style="664" customWidth="1"/>
    <col min="15362" max="15362" width="13.125" style="664" customWidth="1"/>
    <col min="15363" max="15363" width="43.875" style="664" customWidth="1"/>
    <col min="15364" max="15364" width="11.625" style="664" customWidth="1"/>
    <col min="15365" max="15365" width="10.375" style="664" customWidth="1"/>
    <col min="15366" max="15366" width="11" style="664" customWidth="1"/>
    <col min="15367" max="15368" width="12.125" style="664" customWidth="1"/>
    <col min="15369" max="15369" width="12.875" style="664" customWidth="1"/>
    <col min="15370" max="15371" width="12.125" style="664" customWidth="1"/>
    <col min="15372" max="15372" width="11.375" style="664" customWidth="1"/>
    <col min="15373" max="15374" width="11.875" style="664" customWidth="1"/>
    <col min="15375" max="15375" width="11.75" style="664" customWidth="1"/>
    <col min="15376" max="15376" width="11.375" style="664" customWidth="1"/>
    <col min="15377" max="15377" width="11.875" style="664" customWidth="1"/>
    <col min="15378" max="15378" width="11.375" style="664" customWidth="1"/>
    <col min="15379" max="15379" width="10.375" style="664" customWidth="1"/>
    <col min="15380" max="15380" width="12.875" style="664" customWidth="1"/>
    <col min="15381" max="15381" width="11.75" style="664" customWidth="1"/>
    <col min="15382" max="15382" width="11" style="664" customWidth="1"/>
    <col min="15383" max="15616" width="9" style="664"/>
    <col min="15617" max="15617" width="5.375" style="664" customWidth="1"/>
    <col min="15618" max="15618" width="13.125" style="664" customWidth="1"/>
    <col min="15619" max="15619" width="43.875" style="664" customWidth="1"/>
    <col min="15620" max="15620" width="11.625" style="664" customWidth="1"/>
    <col min="15621" max="15621" width="10.375" style="664" customWidth="1"/>
    <col min="15622" max="15622" width="11" style="664" customWidth="1"/>
    <col min="15623" max="15624" width="12.125" style="664" customWidth="1"/>
    <col min="15625" max="15625" width="12.875" style="664" customWidth="1"/>
    <col min="15626" max="15627" width="12.125" style="664" customWidth="1"/>
    <col min="15628" max="15628" width="11.375" style="664" customWidth="1"/>
    <col min="15629" max="15630" width="11.875" style="664" customWidth="1"/>
    <col min="15631" max="15631" width="11.75" style="664" customWidth="1"/>
    <col min="15632" max="15632" width="11.375" style="664" customWidth="1"/>
    <col min="15633" max="15633" width="11.875" style="664" customWidth="1"/>
    <col min="15634" max="15634" width="11.375" style="664" customWidth="1"/>
    <col min="15635" max="15635" width="10.375" style="664" customWidth="1"/>
    <col min="15636" max="15636" width="12.875" style="664" customWidth="1"/>
    <col min="15637" max="15637" width="11.75" style="664" customWidth="1"/>
    <col min="15638" max="15638" width="11" style="664" customWidth="1"/>
    <col min="15639" max="15872" width="9" style="664"/>
    <col min="15873" max="15873" width="5.375" style="664" customWidth="1"/>
    <col min="15874" max="15874" width="13.125" style="664" customWidth="1"/>
    <col min="15875" max="15875" width="43.875" style="664" customWidth="1"/>
    <col min="15876" max="15876" width="11.625" style="664" customWidth="1"/>
    <col min="15877" max="15877" width="10.375" style="664" customWidth="1"/>
    <col min="15878" max="15878" width="11" style="664" customWidth="1"/>
    <col min="15879" max="15880" width="12.125" style="664" customWidth="1"/>
    <col min="15881" max="15881" width="12.875" style="664" customWidth="1"/>
    <col min="15882" max="15883" width="12.125" style="664" customWidth="1"/>
    <col min="15884" max="15884" width="11.375" style="664" customWidth="1"/>
    <col min="15885" max="15886" width="11.875" style="664" customWidth="1"/>
    <col min="15887" max="15887" width="11.75" style="664" customWidth="1"/>
    <col min="15888" max="15888" width="11.375" style="664" customWidth="1"/>
    <col min="15889" max="15889" width="11.875" style="664" customWidth="1"/>
    <col min="15890" max="15890" width="11.375" style="664" customWidth="1"/>
    <col min="15891" max="15891" width="10.375" style="664" customWidth="1"/>
    <col min="15892" max="15892" width="12.875" style="664" customWidth="1"/>
    <col min="15893" max="15893" width="11.75" style="664" customWidth="1"/>
    <col min="15894" max="15894" width="11" style="664" customWidth="1"/>
    <col min="15895" max="16128" width="9" style="664"/>
    <col min="16129" max="16129" width="5.375" style="664" customWidth="1"/>
    <col min="16130" max="16130" width="13.125" style="664" customWidth="1"/>
    <col min="16131" max="16131" width="43.875" style="664" customWidth="1"/>
    <col min="16132" max="16132" width="11.625" style="664" customWidth="1"/>
    <col min="16133" max="16133" width="10.375" style="664" customWidth="1"/>
    <col min="16134" max="16134" width="11" style="664" customWidth="1"/>
    <col min="16135" max="16136" width="12.125" style="664" customWidth="1"/>
    <col min="16137" max="16137" width="12.875" style="664" customWidth="1"/>
    <col min="16138" max="16139" width="12.125" style="664" customWidth="1"/>
    <col min="16140" max="16140" width="11.375" style="664" customWidth="1"/>
    <col min="16141" max="16142" width="11.875" style="664" customWidth="1"/>
    <col min="16143" max="16143" width="11.75" style="664" customWidth="1"/>
    <col min="16144" max="16144" width="11.375" style="664" customWidth="1"/>
    <col min="16145" max="16145" width="11.875" style="664" customWidth="1"/>
    <col min="16146" max="16146" width="11.375" style="664" customWidth="1"/>
    <col min="16147" max="16147" width="10.375" style="664" customWidth="1"/>
    <col min="16148" max="16148" width="12.875" style="664" customWidth="1"/>
    <col min="16149" max="16149" width="11.75" style="664" customWidth="1"/>
    <col min="16150" max="16150" width="11" style="664" customWidth="1"/>
    <col min="16151" max="16384" width="9" style="664"/>
  </cols>
  <sheetData>
    <row r="1" spans="1:23" s="649" customFormat="1" ht="13.5" customHeight="1">
      <c r="A1" s="659" t="s">
        <v>128</v>
      </c>
      <c r="T1" s="649" t="s">
        <v>909</v>
      </c>
    </row>
    <row r="2" spans="1:23" s="649" customFormat="1" ht="13.5" customHeight="1">
      <c r="A2" s="659"/>
      <c r="T2" s="649" t="s">
        <v>908</v>
      </c>
    </row>
    <row r="3" spans="1:23" s="649" customFormat="1" ht="13.5" customHeight="1">
      <c r="A3" s="659"/>
      <c r="T3" s="649" t="s">
        <v>766</v>
      </c>
    </row>
    <row r="4" spans="1:23" s="646" customFormat="1" ht="5.25" customHeight="1">
      <c r="A4" s="645"/>
    </row>
    <row r="5" spans="1:23" s="646" customFormat="1" ht="44.25" customHeight="1">
      <c r="A5" s="967" t="s">
        <v>883</v>
      </c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7"/>
      <c r="R5" s="967"/>
      <c r="S5" s="967"/>
      <c r="T5" s="967"/>
      <c r="U5" s="967"/>
      <c r="V5" s="967"/>
    </row>
    <row r="6" spans="1:23" s="649" customFormat="1" ht="14.25" customHeight="1">
      <c r="A6" s="658"/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V6" s="659" t="s">
        <v>15</v>
      </c>
    </row>
    <row r="7" spans="1:23" s="646" customFormat="1" ht="28.5" customHeight="1">
      <c r="A7" s="934" t="s">
        <v>209</v>
      </c>
      <c r="B7" s="937" t="s">
        <v>884</v>
      </c>
      <c r="C7" s="940" t="s">
        <v>812</v>
      </c>
      <c r="D7" s="940" t="s">
        <v>771</v>
      </c>
      <c r="E7" s="937" t="s">
        <v>772</v>
      </c>
      <c r="F7" s="940" t="s">
        <v>410</v>
      </c>
      <c r="G7" s="943" t="s">
        <v>813</v>
      </c>
      <c r="H7" s="943" t="s">
        <v>814</v>
      </c>
      <c r="I7" s="945" t="s">
        <v>775</v>
      </c>
      <c r="J7" s="945"/>
      <c r="K7" s="945"/>
      <c r="L7" s="945"/>
      <c r="M7" s="945"/>
      <c r="N7" s="945"/>
      <c r="O7" s="945"/>
      <c r="P7" s="945"/>
      <c r="Q7" s="945"/>
      <c r="R7" s="945"/>
      <c r="S7" s="945"/>
      <c r="T7" s="945"/>
      <c r="U7" s="945"/>
      <c r="V7" s="945"/>
    </row>
    <row r="8" spans="1:23" s="646" customFormat="1" ht="21.75" customHeight="1">
      <c r="A8" s="935"/>
      <c r="B8" s="938"/>
      <c r="C8" s="941"/>
      <c r="D8" s="941"/>
      <c r="E8" s="938"/>
      <c r="F8" s="941"/>
      <c r="G8" s="943"/>
      <c r="H8" s="943"/>
      <c r="I8" s="945"/>
      <c r="J8" s="945"/>
      <c r="K8" s="945"/>
      <c r="L8" s="945"/>
      <c r="M8" s="945"/>
      <c r="N8" s="945"/>
      <c r="O8" s="945"/>
      <c r="P8" s="945"/>
      <c r="Q8" s="945"/>
      <c r="R8" s="945"/>
      <c r="S8" s="945"/>
      <c r="T8" s="945"/>
      <c r="U8" s="945"/>
      <c r="V8" s="945"/>
    </row>
    <row r="9" spans="1:23" s="646" customFormat="1" ht="15.75" customHeight="1">
      <c r="A9" s="935"/>
      <c r="B9" s="938"/>
      <c r="C9" s="941"/>
      <c r="D9" s="941"/>
      <c r="E9" s="938"/>
      <c r="F9" s="941"/>
      <c r="G9" s="694" t="s">
        <v>776</v>
      </c>
      <c r="H9" s="694" t="s">
        <v>776</v>
      </c>
      <c r="I9" s="945" t="s">
        <v>777</v>
      </c>
      <c r="J9" s="946" t="s">
        <v>778</v>
      </c>
      <c r="K9" s="946"/>
      <c r="L9" s="946"/>
      <c r="M9" s="947" t="s">
        <v>779</v>
      </c>
      <c r="N9" s="946" t="s">
        <v>815</v>
      </c>
      <c r="O9" s="946"/>
      <c r="P9" s="946"/>
      <c r="Q9" s="946"/>
      <c r="R9" s="946"/>
      <c r="S9" s="946"/>
      <c r="T9" s="946"/>
      <c r="U9" s="946"/>
      <c r="V9" s="946"/>
    </row>
    <row r="10" spans="1:23" s="646" customFormat="1" ht="12.75" customHeight="1">
      <c r="A10" s="935"/>
      <c r="B10" s="938"/>
      <c r="C10" s="941"/>
      <c r="D10" s="941"/>
      <c r="E10" s="938"/>
      <c r="F10" s="941"/>
      <c r="G10" s="694" t="s">
        <v>781</v>
      </c>
      <c r="H10" s="694" t="s">
        <v>781</v>
      </c>
      <c r="I10" s="945"/>
      <c r="J10" s="946"/>
      <c r="K10" s="946"/>
      <c r="L10" s="946"/>
      <c r="M10" s="947"/>
      <c r="N10" s="948" t="s">
        <v>782</v>
      </c>
      <c r="O10" s="948"/>
      <c r="P10" s="948"/>
      <c r="Q10" s="948" t="s">
        <v>783</v>
      </c>
      <c r="R10" s="948"/>
      <c r="S10" s="948"/>
      <c r="T10" s="947" t="s">
        <v>816</v>
      </c>
      <c r="U10" s="947"/>
      <c r="V10" s="947"/>
    </row>
    <row r="11" spans="1:23" s="646" customFormat="1" ht="14.25" customHeight="1">
      <c r="A11" s="935"/>
      <c r="B11" s="938"/>
      <c r="C11" s="941"/>
      <c r="D11" s="941"/>
      <c r="E11" s="938"/>
      <c r="F11" s="941"/>
      <c r="G11" s="694" t="s">
        <v>785</v>
      </c>
      <c r="H11" s="694" t="s">
        <v>785</v>
      </c>
      <c r="I11" s="945"/>
      <c r="J11" s="948" t="s">
        <v>17</v>
      </c>
      <c r="K11" s="948" t="s">
        <v>786</v>
      </c>
      <c r="L11" s="948" t="s">
        <v>787</v>
      </c>
      <c r="M11" s="947"/>
      <c r="N11" s="948" t="s">
        <v>17</v>
      </c>
      <c r="O11" s="948" t="s">
        <v>788</v>
      </c>
      <c r="P11" s="949" t="s">
        <v>787</v>
      </c>
      <c r="Q11" s="948" t="s">
        <v>17</v>
      </c>
      <c r="R11" s="948" t="s">
        <v>788</v>
      </c>
      <c r="S11" s="949" t="s">
        <v>787</v>
      </c>
      <c r="T11" s="947" t="s">
        <v>17</v>
      </c>
      <c r="U11" s="948" t="s">
        <v>788</v>
      </c>
      <c r="V11" s="949" t="s">
        <v>787</v>
      </c>
    </row>
    <row r="12" spans="1:23" s="646" customFormat="1" ht="16.5" customHeight="1">
      <c r="A12" s="936"/>
      <c r="B12" s="939"/>
      <c r="C12" s="942"/>
      <c r="D12" s="942"/>
      <c r="E12" s="939"/>
      <c r="F12" s="942"/>
      <c r="G12" s="694" t="s">
        <v>816</v>
      </c>
      <c r="H12" s="694" t="s">
        <v>816</v>
      </c>
      <c r="I12" s="945"/>
      <c r="J12" s="948"/>
      <c r="K12" s="948"/>
      <c r="L12" s="948"/>
      <c r="M12" s="947"/>
      <c r="N12" s="948"/>
      <c r="O12" s="948"/>
      <c r="P12" s="949"/>
      <c r="Q12" s="948"/>
      <c r="R12" s="948"/>
      <c r="S12" s="949"/>
      <c r="T12" s="947"/>
      <c r="U12" s="948"/>
      <c r="V12" s="949"/>
    </row>
    <row r="13" spans="1:23" s="648" customFormat="1" ht="12.75" customHeight="1">
      <c r="A13" s="647">
        <v>1</v>
      </c>
      <c r="B13" s="647">
        <v>2</v>
      </c>
      <c r="C13" s="647">
        <v>3</v>
      </c>
      <c r="D13" s="647">
        <v>4</v>
      </c>
      <c r="E13" s="647">
        <v>5</v>
      </c>
      <c r="F13" s="647">
        <v>6</v>
      </c>
      <c r="G13" s="647">
        <v>7</v>
      </c>
      <c r="H13" s="647">
        <v>8</v>
      </c>
      <c r="I13" s="647" t="s">
        <v>790</v>
      </c>
      <c r="J13" s="647" t="s">
        <v>791</v>
      </c>
      <c r="K13" s="647">
        <v>11</v>
      </c>
      <c r="L13" s="647">
        <v>12</v>
      </c>
      <c r="M13" s="647" t="s">
        <v>792</v>
      </c>
      <c r="N13" s="647" t="s">
        <v>793</v>
      </c>
      <c r="O13" s="647">
        <v>15</v>
      </c>
      <c r="P13" s="647">
        <v>16</v>
      </c>
      <c r="Q13" s="647" t="s">
        <v>794</v>
      </c>
      <c r="R13" s="647">
        <v>18</v>
      </c>
      <c r="S13" s="647">
        <v>19</v>
      </c>
      <c r="T13" s="647" t="s">
        <v>795</v>
      </c>
      <c r="U13" s="647">
        <v>21</v>
      </c>
      <c r="V13" s="647">
        <v>22</v>
      </c>
    </row>
    <row r="14" spans="1:23" s="648" customFormat="1" ht="3" customHeight="1">
      <c r="A14" s="998"/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</row>
    <row r="15" spans="1:23" s="648" customFormat="1" ht="17.25" customHeight="1">
      <c r="A15" s="999" t="s">
        <v>885</v>
      </c>
      <c r="B15" s="999"/>
      <c r="C15" s="999"/>
      <c r="D15" s="999"/>
      <c r="E15" s="999"/>
      <c r="F15" s="999"/>
      <c r="G15" s="999"/>
      <c r="H15" s="999"/>
      <c r="I15" s="999"/>
      <c r="J15" s="999"/>
      <c r="K15" s="999"/>
      <c r="L15" s="999"/>
      <c r="M15" s="999"/>
      <c r="N15" s="999"/>
      <c r="O15" s="999"/>
      <c r="P15" s="999"/>
      <c r="Q15" s="999"/>
      <c r="R15" s="999"/>
      <c r="S15" s="999"/>
      <c r="T15" s="999"/>
      <c r="U15" s="999"/>
      <c r="V15" s="999"/>
      <c r="W15" s="650"/>
    </row>
    <row r="16" spans="1:23" s="648" customFormat="1" ht="3" customHeight="1">
      <c r="A16" s="1000"/>
      <c r="B16" s="1000"/>
      <c r="C16" s="1000"/>
      <c r="D16" s="1000"/>
      <c r="E16" s="1000"/>
      <c r="F16" s="1000"/>
      <c r="G16" s="1000"/>
      <c r="H16" s="1000"/>
      <c r="I16" s="1000"/>
      <c r="J16" s="1000"/>
      <c r="K16" s="1000"/>
      <c r="L16" s="1000"/>
      <c r="M16" s="1000"/>
      <c r="N16" s="1000"/>
      <c r="O16" s="1000"/>
      <c r="P16" s="1000"/>
      <c r="Q16" s="1000"/>
      <c r="R16" s="1000"/>
      <c r="S16" s="1000"/>
      <c r="T16" s="1000"/>
      <c r="U16" s="1000"/>
      <c r="V16" s="1000"/>
      <c r="W16" s="666"/>
    </row>
    <row r="17" spans="1:22" s="661" customFormat="1" ht="14.25" customHeight="1">
      <c r="A17" s="950">
        <v>1</v>
      </c>
      <c r="B17" s="961" t="s">
        <v>886</v>
      </c>
      <c r="C17" s="968" t="s">
        <v>887</v>
      </c>
      <c r="D17" s="961" t="s">
        <v>424</v>
      </c>
      <c r="E17" s="971" t="s">
        <v>865</v>
      </c>
      <c r="F17" s="950" t="s">
        <v>833</v>
      </c>
      <c r="G17" s="660">
        <f>G18+G19+G20+G21</f>
        <v>4000000</v>
      </c>
      <c r="H17" s="660">
        <f>H18+H19+H20+H21</f>
        <v>880000</v>
      </c>
      <c r="I17" s="979">
        <f>J17+M17</f>
        <v>1560000</v>
      </c>
      <c r="J17" s="979">
        <f>K17+L17</f>
        <v>1243476</v>
      </c>
      <c r="K17" s="978">
        <v>1243476</v>
      </c>
      <c r="L17" s="978">
        <v>0</v>
      </c>
      <c r="M17" s="979">
        <f>N17+Q17+T17</f>
        <v>316524</v>
      </c>
      <c r="N17" s="979">
        <f>O17+P17</f>
        <v>316524</v>
      </c>
      <c r="O17" s="978">
        <v>316524</v>
      </c>
      <c r="P17" s="978">
        <v>0</v>
      </c>
      <c r="Q17" s="979">
        <f>R17+S17</f>
        <v>0</v>
      </c>
      <c r="R17" s="978">
        <v>0</v>
      </c>
      <c r="S17" s="978">
        <v>0</v>
      </c>
      <c r="T17" s="979">
        <f>U17+V17</f>
        <v>0</v>
      </c>
      <c r="U17" s="978">
        <v>0</v>
      </c>
      <c r="V17" s="978">
        <v>0</v>
      </c>
    </row>
    <row r="18" spans="1:22" s="661" customFormat="1" ht="14.25" customHeight="1">
      <c r="A18" s="950"/>
      <c r="B18" s="961"/>
      <c r="C18" s="969"/>
      <c r="D18" s="961"/>
      <c r="E18" s="971"/>
      <c r="F18" s="950"/>
      <c r="G18" s="660">
        <v>3188400</v>
      </c>
      <c r="H18" s="660">
        <v>701448</v>
      </c>
      <c r="I18" s="979"/>
      <c r="J18" s="979"/>
      <c r="K18" s="978"/>
      <c r="L18" s="978"/>
      <c r="M18" s="979"/>
      <c r="N18" s="979"/>
      <c r="O18" s="978"/>
      <c r="P18" s="978"/>
      <c r="Q18" s="979"/>
      <c r="R18" s="978"/>
      <c r="S18" s="978"/>
      <c r="T18" s="979"/>
      <c r="U18" s="978"/>
      <c r="V18" s="978"/>
    </row>
    <row r="19" spans="1:22" s="661" customFormat="1" ht="14.25" customHeight="1">
      <c r="A19" s="950"/>
      <c r="B19" s="961"/>
      <c r="C19" s="969"/>
      <c r="D19" s="961"/>
      <c r="E19" s="971"/>
      <c r="F19" s="950"/>
      <c r="G19" s="660">
        <v>811600</v>
      </c>
      <c r="H19" s="660">
        <v>178552</v>
      </c>
      <c r="I19" s="979"/>
      <c r="J19" s="979"/>
      <c r="K19" s="978"/>
      <c r="L19" s="978"/>
      <c r="M19" s="979"/>
      <c r="N19" s="979"/>
      <c r="O19" s="978"/>
      <c r="P19" s="978"/>
      <c r="Q19" s="979"/>
      <c r="R19" s="978"/>
      <c r="S19" s="978"/>
      <c r="T19" s="979"/>
      <c r="U19" s="978"/>
      <c r="V19" s="978"/>
    </row>
    <row r="20" spans="1:22" s="661" customFormat="1" ht="14.25" customHeight="1">
      <c r="A20" s="950"/>
      <c r="B20" s="961"/>
      <c r="C20" s="969"/>
      <c r="D20" s="961"/>
      <c r="E20" s="971"/>
      <c r="F20" s="950"/>
      <c r="G20" s="660">
        <v>0</v>
      </c>
      <c r="H20" s="660">
        <v>0</v>
      </c>
      <c r="I20" s="979"/>
      <c r="J20" s="979"/>
      <c r="K20" s="978"/>
      <c r="L20" s="978"/>
      <c r="M20" s="979"/>
      <c r="N20" s="979"/>
      <c r="O20" s="978"/>
      <c r="P20" s="978"/>
      <c r="Q20" s="979"/>
      <c r="R20" s="978"/>
      <c r="S20" s="978"/>
      <c r="T20" s="979"/>
      <c r="U20" s="978"/>
      <c r="V20" s="978"/>
    </row>
    <row r="21" spans="1:22" s="661" customFormat="1" ht="14.25" customHeight="1">
      <c r="A21" s="950"/>
      <c r="B21" s="961"/>
      <c r="C21" s="970"/>
      <c r="D21" s="961"/>
      <c r="E21" s="971"/>
      <c r="F21" s="950"/>
      <c r="G21" s="660">
        <v>0</v>
      </c>
      <c r="H21" s="660">
        <v>0</v>
      </c>
      <c r="I21" s="979"/>
      <c r="J21" s="979"/>
      <c r="K21" s="978"/>
      <c r="L21" s="978"/>
      <c r="M21" s="979"/>
      <c r="N21" s="979"/>
      <c r="O21" s="978"/>
      <c r="P21" s="978"/>
      <c r="Q21" s="979"/>
      <c r="R21" s="978"/>
      <c r="S21" s="978"/>
      <c r="T21" s="979"/>
      <c r="U21" s="978"/>
      <c r="V21" s="978"/>
    </row>
    <row r="22" spans="1:22" s="661" customFormat="1" ht="14.25" customHeight="1">
      <c r="A22" s="950">
        <v>2</v>
      </c>
      <c r="B22" s="1001" t="s">
        <v>888</v>
      </c>
      <c r="C22" s="968" t="s">
        <v>889</v>
      </c>
      <c r="D22" s="961" t="s">
        <v>890</v>
      </c>
      <c r="E22" s="971" t="s">
        <v>855</v>
      </c>
      <c r="F22" s="950" t="s">
        <v>891</v>
      </c>
      <c r="G22" s="660">
        <f>G23+G24+G25+G26</f>
        <v>22009656</v>
      </c>
      <c r="H22" s="660">
        <f>H23+H24+H25+H26</f>
        <v>198000</v>
      </c>
      <c r="I22" s="979">
        <f>J22+M22</f>
        <v>4488707</v>
      </c>
      <c r="J22" s="979">
        <f>K22+L22</f>
        <v>3704081</v>
      </c>
      <c r="K22" s="978">
        <v>3704081</v>
      </c>
      <c r="L22" s="978">
        <v>0</v>
      </c>
      <c r="M22" s="979">
        <f>N22+Q22+T22</f>
        <v>784626</v>
      </c>
      <c r="N22" s="979">
        <f>O22+P22</f>
        <v>784626</v>
      </c>
      <c r="O22" s="978">
        <v>784626</v>
      </c>
      <c r="P22" s="978">
        <v>0</v>
      </c>
      <c r="Q22" s="979">
        <f>R22+S22</f>
        <v>0</v>
      </c>
      <c r="R22" s="978">
        <v>0</v>
      </c>
      <c r="S22" s="978">
        <v>0</v>
      </c>
      <c r="T22" s="979">
        <f>U22+V22</f>
        <v>0</v>
      </c>
      <c r="U22" s="978">
        <v>0</v>
      </c>
      <c r="V22" s="978">
        <v>0</v>
      </c>
    </row>
    <row r="23" spans="1:22" s="661" customFormat="1" ht="14.25" customHeight="1">
      <c r="A23" s="950"/>
      <c r="B23" s="1002"/>
      <c r="C23" s="969"/>
      <c r="D23" s="961"/>
      <c r="E23" s="971"/>
      <c r="F23" s="950"/>
      <c r="G23" s="660">
        <v>18162369</v>
      </c>
      <c r="H23" s="660">
        <v>163390</v>
      </c>
      <c r="I23" s="979"/>
      <c r="J23" s="979"/>
      <c r="K23" s="978"/>
      <c r="L23" s="978"/>
      <c r="M23" s="979"/>
      <c r="N23" s="979"/>
      <c r="O23" s="978"/>
      <c r="P23" s="978"/>
      <c r="Q23" s="979"/>
      <c r="R23" s="978"/>
      <c r="S23" s="978"/>
      <c r="T23" s="979"/>
      <c r="U23" s="978"/>
      <c r="V23" s="978"/>
    </row>
    <row r="24" spans="1:22" s="661" customFormat="1" ht="14.25" customHeight="1">
      <c r="A24" s="950"/>
      <c r="B24" s="1002"/>
      <c r="C24" s="969"/>
      <c r="D24" s="961"/>
      <c r="E24" s="971"/>
      <c r="F24" s="950"/>
      <c r="G24" s="660">
        <v>3847287</v>
      </c>
      <c r="H24" s="660">
        <v>34610</v>
      </c>
      <c r="I24" s="979"/>
      <c r="J24" s="979"/>
      <c r="K24" s="978"/>
      <c r="L24" s="978"/>
      <c r="M24" s="979"/>
      <c r="N24" s="979"/>
      <c r="O24" s="978"/>
      <c r="P24" s="978"/>
      <c r="Q24" s="979"/>
      <c r="R24" s="978"/>
      <c r="S24" s="978"/>
      <c r="T24" s="979"/>
      <c r="U24" s="978"/>
      <c r="V24" s="978"/>
    </row>
    <row r="25" spans="1:22" s="661" customFormat="1" ht="14.25" customHeight="1">
      <c r="A25" s="950"/>
      <c r="B25" s="1002"/>
      <c r="C25" s="969"/>
      <c r="D25" s="961"/>
      <c r="E25" s="971"/>
      <c r="F25" s="950"/>
      <c r="G25" s="660">
        <v>0</v>
      </c>
      <c r="H25" s="660">
        <v>0</v>
      </c>
      <c r="I25" s="979"/>
      <c r="J25" s="979"/>
      <c r="K25" s="978"/>
      <c r="L25" s="978"/>
      <c r="M25" s="979"/>
      <c r="N25" s="979"/>
      <c r="O25" s="978"/>
      <c r="P25" s="978"/>
      <c r="Q25" s="979"/>
      <c r="R25" s="978"/>
      <c r="S25" s="978"/>
      <c r="T25" s="979"/>
      <c r="U25" s="978"/>
      <c r="V25" s="978"/>
    </row>
    <row r="26" spans="1:22" s="661" customFormat="1" ht="14.25" customHeight="1">
      <c r="A26" s="950"/>
      <c r="B26" s="1003"/>
      <c r="C26" s="970"/>
      <c r="D26" s="961"/>
      <c r="E26" s="971"/>
      <c r="F26" s="950"/>
      <c r="G26" s="660">
        <v>0</v>
      </c>
      <c r="H26" s="660">
        <v>0</v>
      </c>
      <c r="I26" s="979"/>
      <c r="J26" s="979"/>
      <c r="K26" s="978"/>
      <c r="L26" s="978"/>
      <c r="M26" s="979"/>
      <c r="N26" s="979"/>
      <c r="O26" s="978"/>
      <c r="P26" s="978"/>
      <c r="Q26" s="979"/>
      <c r="R26" s="978"/>
      <c r="S26" s="978"/>
      <c r="T26" s="979"/>
      <c r="U26" s="978"/>
      <c r="V26" s="978"/>
    </row>
    <row r="27" spans="1:22" s="661" customFormat="1" ht="14.25" customHeight="1">
      <c r="A27" s="950">
        <v>3</v>
      </c>
      <c r="B27" s="1001" t="s">
        <v>892</v>
      </c>
      <c r="C27" s="1004" t="s">
        <v>893</v>
      </c>
      <c r="D27" s="961" t="s">
        <v>424</v>
      </c>
      <c r="E27" s="971" t="s">
        <v>894</v>
      </c>
      <c r="F27" s="950" t="s">
        <v>895</v>
      </c>
      <c r="G27" s="660">
        <f>G28+G29+G30+G31</f>
        <v>47338777</v>
      </c>
      <c r="H27" s="660">
        <f>H28+H29+H30+H31</f>
        <v>36338777</v>
      </c>
      <c r="I27" s="979">
        <f>J27+M27</f>
        <v>7100000</v>
      </c>
      <c r="J27" s="979">
        <f>K27+L27</f>
        <v>4518000</v>
      </c>
      <c r="K27" s="978">
        <v>4518000</v>
      </c>
      <c r="L27" s="978">
        <v>0</v>
      </c>
      <c r="M27" s="979">
        <f>N27+Q27+T27</f>
        <v>2582000</v>
      </c>
      <c r="N27" s="979">
        <f>O27+P27</f>
        <v>2582000</v>
      </c>
      <c r="O27" s="978">
        <v>2582000</v>
      </c>
      <c r="P27" s="978">
        <v>0</v>
      </c>
      <c r="Q27" s="979">
        <f>R27+S27</f>
        <v>0</v>
      </c>
      <c r="R27" s="978">
        <v>0</v>
      </c>
      <c r="S27" s="978">
        <v>0</v>
      </c>
      <c r="T27" s="979">
        <f>U27+V27</f>
        <v>0</v>
      </c>
      <c r="U27" s="978">
        <v>0</v>
      </c>
      <c r="V27" s="978">
        <v>0</v>
      </c>
    </row>
    <row r="28" spans="1:22" s="661" customFormat="1" ht="14.25" customHeight="1">
      <c r="A28" s="950"/>
      <c r="B28" s="1002"/>
      <c r="C28" s="1004"/>
      <c r="D28" s="961"/>
      <c r="E28" s="971"/>
      <c r="F28" s="950"/>
      <c r="G28" s="660">
        <v>30121562</v>
      </c>
      <c r="H28" s="660">
        <v>23121562</v>
      </c>
      <c r="I28" s="979"/>
      <c r="J28" s="979"/>
      <c r="K28" s="978"/>
      <c r="L28" s="978"/>
      <c r="M28" s="979"/>
      <c r="N28" s="979"/>
      <c r="O28" s="978"/>
      <c r="P28" s="978"/>
      <c r="Q28" s="979"/>
      <c r="R28" s="978"/>
      <c r="S28" s="978"/>
      <c r="T28" s="979"/>
      <c r="U28" s="978"/>
      <c r="V28" s="978"/>
    </row>
    <row r="29" spans="1:22" s="661" customFormat="1" ht="14.25" customHeight="1">
      <c r="A29" s="950"/>
      <c r="B29" s="1002"/>
      <c r="C29" s="1004"/>
      <c r="D29" s="961"/>
      <c r="E29" s="971"/>
      <c r="F29" s="950"/>
      <c r="G29" s="660">
        <v>17217215</v>
      </c>
      <c r="H29" s="660">
        <v>13217215</v>
      </c>
      <c r="I29" s="979"/>
      <c r="J29" s="979"/>
      <c r="K29" s="978"/>
      <c r="L29" s="978"/>
      <c r="M29" s="979"/>
      <c r="N29" s="979"/>
      <c r="O29" s="978"/>
      <c r="P29" s="978"/>
      <c r="Q29" s="979"/>
      <c r="R29" s="978"/>
      <c r="S29" s="978"/>
      <c r="T29" s="979"/>
      <c r="U29" s="978"/>
      <c r="V29" s="978"/>
    </row>
    <row r="30" spans="1:22" s="661" customFormat="1" ht="14.25" customHeight="1">
      <c r="A30" s="950"/>
      <c r="B30" s="1002"/>
      <c r="C30" s="1004"/>
      <c r="D30" s="961"/>
      <c r="E30" s="971"/>
      <c r="F30" s="950"/>
      <c r="G30" s="660">
        <v>0</v>
      </c>
      <c r="H30" s="660">
        <v>0</v>
      </c>
      <c r="I30" s="979"/>
      <c r="J30" s="979"/>
      <c r="K30" s="978"/>
      <c r="L30" s="978"/>
      <c r="M30" s="979"/>
      <c r="N30" s="979"/>
      <c r="O30" s="978"/>
      <c r="P30" s="978"/>
      <c r="Q30" s="979"/>
      <c r="R30" s="978"/>
      <c r="S30" s="978"/>
      <c r="T30" s="979"/>
      <c r="U30" s="978"/>
      <c r="V30" s="978"/>
    </row>
    <row r="31" spans="1:22" s="661" customFormat="1" ht="14.25" customHeight="1">
      <c r="A31" s="950"/>
      <c r="B31" s="1003"/>
      <c r="C31" s="1004"/>
      <c r="D31" s="961"/>
      <c r="E31" s="971"/>
      <c r="F31" s="950"/>
      <c r="G31" s="660">
        <v>0</v>
      </c>
      <c r="H31" s="660">
        <v>0</v>
      </c>
      <c r="I31" s="979"/>
      <c r="J31" s="979"/>
      <c r="K31" s="978"/>
      <c r="L31" s="978"/>
      <c r="M31" s="979"/>
      <c r="N31" s="979"/>
      <c r="O31" s="978"/>
      <c r="P31" s="978"/>
      <c r="Q31" s="979"/>
      <c r="R31" s="978"/>
      <c r="S31" s="978"/>
      <c r="T31" s="979"/>
      <c r="U31" s="978"/>
      <c r="V31" s="978"/>
    </row>
    <row r="32" spans="1:22" s="661" customFormat="1" ht="14.25" customHeight="1">
      <c r="A32" s="950">
        <v>4</v>
      </c>
      <c r="B32" s="1001" t="s">
        <v>892</v>
      </c>
      <c r="C32" s="1004" t="s">
        <v>896</v>
      </c>
      <c r="D32" s="961" t="s">
        <v>424</v>
      </c>
      <c r="E32" s="971" t="s">
        <v>894</v>
      </c>
      <c r="F32" s="950" t="s">
        <v>897</v>
      </c>
      <c r="G32" s="660">
        <f>G33+G34+G35+G36</f>
        <v>978834</v>
      </c>
      <c r="H32" s="660">
        <f>H33+H34+H35+H36</f>
        <v>908834</v>
      </c>
      <c r="I32" s="979">
        <f>J32+M32</f>
        <v>70000</v>
      </c>
      <c r="J32" s="979">
        <f>K32+L32</f>
        <v>45000</v>
      </c>
      <c r="K32" s="978">
        <v>45000</v>
      </c>
      <c r="L32" s="978">
        <v>0</v>
      </c>
      <c r="M32" s="979">
        <f>N32+Q32+T32</f>
        <v>25000</v>
      </c>
      <c r="N32" s="979">
        <f>O32+P32</f>
        <v>25000</v>
      </c>
      <c r="O32" s="978">
        <v>25000</v>
      </c>
      <c r="P32" s="978">
        <v>0</v>
      </c>
      <c r="Q32" s="979">
        <f>R32+S32</f>
        <v>0</v>
      </c>
      <c r="R32" s="978">
        <v>0</v>
      </c>
      <c r="S32" s="978">
        <v>0</v>
      </c>
      <c r="T32" s="979">
        <f>U32+V32</f>
        <v>0</v>
      </c>
      <c r="U32" s="978">
        <v>0</v>
      </c>
      <c r="V32" s="978">
        <v>0</v>
      </c>
    </row>
    <row r="33" spans="1:22" s="661" customFormat="1" ht="14.25" customHeight="1">
      <c r="A33" s="950"/>
      <c r="B33" s="1002"/>
      <c r="C33" s="1004"/>
      <c r="D33" s="961"/>
      <c r="E33" s="971"/>
      <c r="F33" s="950"/>
      <c r="G33" s="660">
        <v>623661</v>
      </c>
      <c r="H33" s="660">
        <v>578661</v>
      </c>
      <c r="I33" s="979"/>
      <c r="J33" s="979"/>
      <c r="K33" s="978"/>
      <c r="L33" s="978"/>
      <c r="M33" s="979"/>
      <c r="N33" s="979"/>
      <c r="O33" s="978"/>
      <c r="P33" s="978"/>
      <c r="Q33" s="979"/>
      <c r="R33" s="978"/>
      <c r="S33" s="978"/>
      <c r="T33" s="979"/>
      <c r="U33" s="978"/>
      <c r="V33" s="978"/>
    </row>
    <row r="34" spans="1:22" s="661" customFormat="1" ht="14.25" customHeight="1">
      <c r="A34" s="950"/>
      <c r="B34" s="1002"/>
      <c r="C34" s="1004"/>
      <c r="D34" s="961"/>
      <c r="E34" s="971"/>
      <c r="F34" s="950"/>
      <c r="G34" s="660">
        <v>355173</v>
      </c>
      <c r="H34" s="660">
        <v>330173</v>
      </c>
      <c r="I34" s="979"/>
      <c r="J34" s="979"/>
      <c r="K34" s="978"/>
      <c r="L34" s="978"/>
      <c r="M34" s="979"/>
      <c r="N34" s="979"/>
      <c r="O34" s="978"/>
      <c r="P34" s="978"/>
      <c r="Q34" s="979"/>
      <c r="R34" s="978"/>
      <c r="S34" s="978"/>
      <c r="T34" s="979"/>
      <c r="U34" s="978"/>
      <c r="V34" s="978"/>
    </row>
    <row r="35" spans="1:22" s="661" customFormat="1" ht="14.25" customHeight="1">
      <c r="A35" s="950"/>
      <c r="B35" s="1002"/>
      <c r="C35" s="1004"/>
      <c r="D35" s="961"/>
      <c r="E35" s="971"/>
      <c r="F35" s="950"/>
      <c r="G35" s="660">
        <v>0</v>
      </c>
      <c r="H35" s="660">
        <v>0</v>
      </c>
      <c r="I35" s="979"/>
      <c r="J35" s="979"/>
      <c r="K35" s="978"/>
      <c r="L35" s="978"/>
      <c r="M35" s="979"/>
      <c r="N35" s="979"/>
      <c r="O35" s="978"/>
      <c r="P35" s="978"/>
      <c r="Q35" s="979"/>
      <c r="R35" s="978"/>
      <c r="S35" s="978"/>
      <c r="T35" s="979"/>
      <c r="U35" s="978"/>
      <c r="V35" s="978"/>
    </row>
    <row r="36" spans="1:22" s="661" customFormat="1" ht="14.25" customHeight="1">
      <c r="A36" s="950"/>
      <c r="B36" s="1003"/>
      <c r="C36" s="1004"/>
      <c r="D36" s="961"/>
      <c r="E36" s="971"/>
      <c r="F36" s="950"/>
      <c r="G36" s="660">
        <v>0</v>
      </c>
      <c r="H36" s="660">
        <v>0</v>
      </c>
      <c r="I36" s="979"/>
      <c r="J36" s="979"/>
      <c r="K36" s="978"/>
      <c r="L36" s="978"/>
      <c r="M36" s="979"/>
      <c r="N36" s="979"/>
      <c r="O36" s="978"/>
      <c r="P36" s="978"/>
      <c r="Q36" s="979"/>
      <c r="R36" s="978"/>
      <c r="S36" s="978"/>
      <c r="T36" s="979"/>
      <c r="U36" s="978"/>
      <c r="V36" s="978"/>
    </row>
    <row r="37" spans="1:22" s="661" customFormat="1" ht="14.25" customHeight="1">
      <c r="A37" s="950">
        <v>5</v>
      </c>
      <c r="B37" s="1001" t="s">
        <v>892</v>
      </c>
      <c r="C37" s="1004" t="s">
        <v>898</v>
      </c>
      <c r="D37" s="961" t="s">
        <v>424</v>
      </c>
      <c r="E37" s="971" t="s">
        <v>894</v>
      </c>
      <c r="F37" s="950" t="s">
        <v>895</v>
      </c>
      <c r="G37" s="660">
        <f>G38+G39+G40+G41</f>
        <v>10830461</v>
      </c>
      <c r="H37" s="660">
        <f>H38+H39+H40+H41</f>
        <v>9630461</v>
      </c>
      <c r="I37" s="979">
        <f>J37+M37</f>
        <v>1000000</v>
      </c>
      <c r="J37" s="979">
        <f>K37+L37</f>
        <v>636000</v>
      </c>
      <c r="K37" s="978">
        <v>636000</v>
      </c>
      <c r="L37" s="978">
        <v>0</v>
      </c>
      <c r="M37" s="979">
        <f>N37+Q37+T37</f>
        <v>364000</v>
      </c>
      <c r="N37" s="979">
        <f>O37+P37</f>
        <v>364000</v>
      </c>
      <c r="O37" s="978">
        <v>364000</v>
      </c>
      <c r="P37" s="978">
        <v>0</v>
      </c>
      <c r="Q37" s="979">
        <f>R37+S37</f>
        <v>0</v>
      </c>
      <c r="R37" s="978">
        <v>0</v>
      </c>
      <c r="S37" s="978">
        <v>0</v>
      </c>
      <c r="T37" s="979">
        <f>U37+V37</f>
        <v>0</v>
      </c>
      <c r="U37" s="978">
        <v>0</v>
      </c>
      <c r="V37" s="978">
        <v>0</v>
      </c>
    </row>
    <row r="38" spans="1:22" s="661" customFormat="1" ht="14.25" customHeight="1">
      <c r="A38" s="950"/>
      <c r="B38" s="1002"/>
      <c r="C38" s="1004"/>
      <c r="D38" s="961"/>
      <c r="E38" s="971"/>
      <c r="F38" s="950"/>
      <c r="G38" s="660">
        <v>6890973</v>
      </c>
      <c r="H38" s="660">
        <v>6127973</v>
      </c>
      <c r="I38" s="979"/>
      <c r="J38" s="979"/>
      <c r="K38" s="978"/>
      <c r="L38" s="978"/>
      <c r="M38" s="979"/>
      <c r="N38" s="979"/>
      <c r="O38" s="978"/>
      <c r="P38" s="978"/>
      <c r="Q38" s="979"/>
      <c r="R38" s="978"/>
      <c r="S38" s="978"/>
      <c r="T38" s="979"/>
      <c r="U38" s="978"/>
      <c r="V38" s="978"/>
    </row>
    <row r="39" spans="1:22" s="661" customFormat="1" ht="14.25" customHeight="1">
      <c r="A39" s="950"/>
      <c r="B39" s="1002"/>
      <c r="C39" s="1004"/>
      <c r="D39" s="961"/>
      <c r="E39" s="971"/>
      <c r="F39" s="950"/>
      <c r="G39" s="660">
        <v>3939488</v>
      </c>
      <c r="H39" s="660">
        <v>3502488</v>
      </c>
      <c r="I39" s="979"/>
      <c r="J39" s="979"/>
      <c r="K39" s="978"/>
      <c r="L39" s="978"/>
      <c r="M39" s="979"/>
      <c r="N39" s="979"/>
      <c r="O39" s="978"/>
      <c r="P39" s="978"/>
      <c r="Q39" s="979"/>
      <c r="R39" s="978"/>
      <c r="S39" s="978"/>
      <c r="T39" s="979"/>
      <c r="U39" s="978"/>
      <c r="V39" s="978"/>
    </row>
    <row r="40" spans="1:22" s="661" customFormat="1" ht="14.25" customHeight="1">
      <c r="A40" s="950"/>
      <c r="B40" s="1002"/>
      <c r="C40" s="1004"/>
      <c r="D40" s="961"/>
      <c r="E40" s="971"/>
      <c r="F40" s="950"/>
      <c r="G40" s="660">
        <v>0</v>
      </c>
      <c r="H40" s="660">
        <v>0</v>
      </c>
      <c r="I40" s="979"/>
      <c r="J40" s="979"/>
      <c r="K40" s="978"/>
      <c r="L40" s="978"/>
      <c r="M40" s="979"/>
      <c r="N40" s="979"/>
      <c r="O40" s="978"/>
      <c r="P40" s="978"/>
      <c r="Q40" s="979"/>
      <c r="R40" s="978"/>
      <c r="S40" s="978"/>
      <c r="T40" s="979"/>
      <c r="U40" s="978"/>
      <c r="V40" s="978"/>
    </row>
    <row r="41" spans="1:22" s="661" customFormat="1" ht="14.25" customHeight="1">
      <c r="A41" s="950"/>
      <c r="B41" s="1003"/>
      <c r="C41" s="1004"/>
      <c r="D41" s="961"/>
      <c r="E41" s="971"/>
      <c r="F41" s="950"/>
      <c r="G41" s="660">
        <v>0</v>
      </c>
      <c r="H41" s="660">
        <v>0</v>
      </c>
      <c r="I41" s="979"/>
      <c r="J41" s="979"/>
      <c r="K41" s="978"/>
      <c r="L41" s="978"/>
      <c r="M41" s="979"/>
      <c r="N41" s="979"/>
      <c r="O41" s="978"/>
      <c r="P41" s="978"/>
      <c r="Q41" s="979"/>
      <c r="R41" s="978"/>
      <c r="S41" s="978"/>
      <c r="T41" s="979"/>
      <c r="U41" s="978"/>
      <c r="V41" s="978"/>
    </row>
    <row r="42" spans="1:22" s="661" customFormat="1" ht="14.25" customHeight="1">
      <c r="A42" s="950">
        <v>6</v>
      </c>
      <c r="B42" s="961" t="s">
        <v>899</v>
      </c>
      <c r="C42" s="968" t="s">
        <v>900</v>
      </c>
      <c r="D42" s="961" t="s">
        <v>424</v>
      </c>
      <c r="E42" s="971" t="s">
        <v>901</v>
      </c>
      <c r="F42" s="950" t="s">
        <v>902</v>
      </c>
      <c r="G42" s="660">
        <f>G44+G43+G45+G46</f>
        <v>139000</v>
      </c>
      <c r="H42" s="660">
        <f>H44+H43+H45+H46</f>
        <v>0</v>
      </c>
      <c r="I42" s="979">
        <f>J42+M42</f>
        <v>60000</v>
      </c>
      <c r="J42" s="979">
        <f>K42+L42</f>
        <v>42000</v>
      </c>
      <c r="K42" s="978">
        <v>42000</v>
      </c>
      <c r="L42" s="978">
        <v>0</v>
      </c>
      <c r="M42" s="979">
        <f>N42+Q42+T42</f>
        <v>18000</v>
      </c>
      <c r="N42" s="979">
        <f>O42+P42</f>
        <v>18000</v>
      </c>
      <c r="O42" s="978">
        <v>18000</v>
      </c>
      <c r="P42" s="978">
        <v>0</v>
      </c>
      <c r="Q42" s="979">
        <f>R42+S42</f>
        <v>0</v>
      </c>
      <c r="R42" s="978">
        <v>0</v>
      </c>
      <c r="S42" s="978">
        <v>0</v>
      </c>
      <c r="T42" s="979">
        <f>U42+V42</f>
        <v>0</v>
      </c>
      <c r="U42" s="978">
        <v>0</v>
      </c>
      <c r="V42" s="978">
        <v>0</v>
      </c>
    </row>
    <row r="43" spans="1:22" s="661" customFormat="1" ht="14.25" customHeight="1">
      <c r="A43" s="950"/>
      <c r="B43" s="961"/>
      <c r="C43" s="969"/>
      <c r="D43" s="961"/>
      <c r="E43" s="971"/>
      <c r="F43" s="950"/>
      <c r="G43" s="660">
        <v>98000</v>
      </c>
      <c r="H43" s="660">
        <v>0</v>
      </c>
      <c r="I43" s="979"/>
      <c r="J43" s="979"/>
      <c r="K43" s="978"/>
      <c r="L43" s="978"/>
      <c r="M43" s="979"/>
      <c r="N43" s="979"/>
      <c r="O43" s="978"/>
      <c r="P43" s="978"/>
      <c r="Q43" s="979"/>
      <c r="R43" s="978"/>
      <c r="S43" s="978"/>
      <c r="T43" s="979"/>
      <c r="U43" s="978"/>
      <c r="V43" s="978"/>
    </row>
    <row r="44" spans="1:22" s="661" customFormat="1" ht="14.25" customHeight="1">
      <c r="A44" s="950"/>
      <c r="B44" s="961"/>
      <c r="C44" s="969"/>
      <c r="D44" s="961"/>
      <c r="E44" s="971"/>
      <c r="F44" s="950"/>
      <c r="G44" s="660">
        <v>41000</v>
      </c>
      <c r="H44" s="660">
        <v>0</v>
      </c>
      <c r="I44" s="979"/>
      <c r="J44" s="979"/>
      <c r="K44" s="978"/>
      <c r="L44" s="978"/>
      <c r="M44" s="979"/>
      <c r="N44" s="979"/>
      <c r="O44" s="978"/>
      <c r="P44" s="978"/>
      <c r="Q44" s="979"/>
      <c r="R44" s="978"/>
      <c r="S44" s="978"/>
      <c r="T44" s="979"/>
      <c r="U44" s="978"/>
      <c r="V44" s="978"/>
    </row>
    <row r="45" spans="1:22" s="661" customFormat="1" ht="14.25" customHeight="1">
      <c r="A45" s="950"/>
      <c r="B45" s="961"/>
      <c r="C45" s="969"/>
      <c r="D45" s="961"/>
      <c r="E45" s="971"/>
      <c r="F45" s="950"/>
      <c r="G45" s="660">
        <v>0</v>
      </c>
      <c r="H45" s="660">
        <v>0</v>
      </c>
      <c r="I45" s="979"/>
      <c r="J45" s="979"/>
      <c r="K45" s="978"/>
      <c r="L45" s="978"/>
      <c r="M45" s="979"/>
      <c r="N45" s="979"/>
      <c r="O45" s="978"/>
      <c r="P45" s="978"/>
      <c r="Q45" s="979"/>
      <c r="R45" s="978"/>
      <c r="S45" s="978"/>
      <c r="T45" s="979"/>
      <c r="U45" s="978"/>
      <c r="V45" s="978"/>
    </row>
    <row r="46" spans="1:22" s="661" customFormat="1" ht="14.25" customHeight="1">
      <c r="A46" s="950"/>
      <c r="B46" s="961"/>
      <c r="C46" s="970"/>
      <c r="D46" s="961"/>
      <c r="E46" s="971"/>
      <c r="F46" s="950"/>
      <c r="G46" s="660">
        <v>0</v>
      </c>
      <c r="H46" s="660">
        <v>0</v>
      </c>
      <c r="I46" s="979"/>
      <c r="J46" s="979"/>
      <c r="K46" s="978"/>
      <c r="L46" s="978"/>
      <c r="M46" s="979"/>
      <c r="N46" s="979"/>
      <c r="O46" s="978"/>
      <c r="P46" s="978"/>
      <c r="Q46" s="979"/>
      <c r="R46" s="978"/>
      <c r="S46" s="978"/>
      <c r="T46" s="979"/>
      <c r="U46" s="978"/>
      <c r="V46" s="978"/>
    </row>
    <row r="47" spans="1:22" s="661" customFormat="1" ht="14.25" customHeight="1">
      <c r="A47" s="950">
        <v>7</v>
      </c>
      <c r="B47" s="1001" t="s">
        <v>903</v>
      </c>
      <c r="C47" s="968" t="s">
        <v>904</v>
      </c>
      <c r="D47" s="961" t="s">
        <v>905</v>
      </c>
      <c r="E47" s="971" t="s">
        <v>842</v>
      </c>
      <c r="F47" s="950" t="s">
        <v>821</v>
      </c>
      <c r="G47" s="660">
        <f>G48+G49+G50+G51</f>
        <v>1512338</v>
      </c>
      <c r="H47" s="660">
        <f>H48+H49+H50+H51</f>
        <v>386724</v>
      </c>
      <c r="I47" s="979">
        <f>J47+M47</f>
        <v>515706</v>
      </c>
      <c r="J47" s="979">
        <f>K47+L47</f>
        <v>412567</v>
      </c>
      <c r="K47" s="978">
        <v>412567</v>
      </c>
      <c r="L47" s="978">
        <v>0</v>
      </c>
      <c r="M47" s="979">
        <f>N47+Q47+T47</f>
        <v>103139</v>
      </c>
      <c r="N47" s="979">
        <f>O47+P47</f>
        <v>0</v>
      </c>
      <c r="O47" s="978">
        <v>0</v>
      </c>
      <c r="P47" s="978">
        <v>0</v>
      </c>
      <c r="Q47" s="979">
        <f>R47+S47</f>
        <v>103139</v>
      </c>
      <c r="R47" s="978">
        <v>103139</v>
      </c>
      <c r="S47" s="978">
        <v>0</v>
      </c>
      <c r="T47" s="979">
        <f>U47+V47</f>
        <v>0</v>
      </c>
      <c r="U47" s="978">
        <v>0</v>
      </c>
      <c r="V47" s="978">
        <v>0</v>
      </c>
    </row>
    <row r="48" spans="1:22" s="661" customFormat="1" ht="14.25" customHeight="1">
      <c r="A48" s="950"/>
      <c r="B48" s="1002"/>
      <c r="C48" s="969"/>
      <c r="D48" s="961"/>
      <c r="E48" s="971"/>
      <c r="F48" s="950"/>
      <c r="G48" s="660">
        <v>1209870</v>
      </c>
      <c r="H48" s="660">
        <v>309376</v>
      </c>
      <c r="I48" s="979"/>
      <c r="J48" s="979"/>
      <c r="K48" s="978"/>
      <c r="L48" s="978"/>
      <c r="M48" s="979"/>
      <c r="N48" s="979"/>
      <c r="O48" s="978"/>
      <c r="P48" s="978"/>
      <c r="Q48" s="979"/>
      <c r="R48" s="978"/>
      <c r="S48" s="978"/>
      <c r="T48" s="979"/>
      <c r="U48" s="978"/>
      <c r="V48" s="978"/>
    </row>
    <row r="49" spans="1:22" s="661" customFormat="1" ht="14.25" customHeight="1">
      <c r="A49" s="950"/>
      <c r="B49" s="1002"/>
      <c r="C49" s="969"/>
      <c r="D49" s="961"/>
      <c r="E49" s="971"/>
      <c r="F49" s="950"/>
      <c r="G49" s="660">
        <v>0</v>
      </c>
      <c r="H49" s="660">
        <v>0</v>
      </c>
      <c r="I49" s="979"/>
      <c r="J49" s="979"/>
      <c r="K49" s="978"/>
      <c r="L49" s="978"/>
      <c r="M49" s="979"/>
      <c r="N49" s="979"/>
      <c r="O49" s="978"/>
      <c r="P49" s="978"/>
      <c r="Q49" s="979"/>
      <c r="R49" s="978"/>
      <c r="S49" s="978"/>
      <c r="T49" s="979"/>
      <c r="U49" s="978"/>
      <c r="V49" s="978"/>
    </row>
    <row r="50" spans="1:22" s="661" customFormat="1" ht="14.25" customHeight="1">
      <c r="A50" s="950"/>
      <c r="B50" s="1002"/>
      <c r="C50" s="969"/>
      <c r="D50" s="961"/>
      <c r="E50" s="971"/>
      <c r="F50" s="950"/>
      <c r="G50" s="660">
        <v>302468</v>
      </c>
      <c r="H50" s="660">
        <v>77348</v>
      </c>
      <c r="I50" s="979"/>
      <c r="J50" s="979"/>
      <c r="K50" s="978"/>
      <c r="L50" s="978"/>
      <c r="M50" s="979"/>
      <c r="N50" s="979"/>
      <c r="O50" s="978"/>
      <c r="P50" s="978"/>
      <c r="Q50" s="979"/>
      <c r="R50" s="978"/>
      <c r="S50" s="978"/>
      <c r="T50" s="979"/>
      <c r="U50" s="978"/>
      <c r="V50" s="978"/>
    </row>
    <row r="51" spans="1:22" s="661" customFormat="1" ht="14.25" customHeight="1">
      <c r="A51" s="950"/>
      <c r="B51" s="1003"/>
      <c r="C51" s="970"/>
      <c r="D51" s="961"/>
      <c r="E51" s="971"/>
      <c r="F51" s="950"/>
      <c r="G51" s="660">
        <v>0</v>
      </c>
      <c r="H51" s="660">
        <v>0</v>
      </c>
      <c r="I51" s="979"/>
      <c r="J51" s="979"/>
      <c r="K51" s="978"/>
      <c r="L51" s="978"/>
      <c r="M51" s="979"/>
      <c r="N51" s="979"/>
      <c r="O51" s="978"/>
      <c r="P51" s="978"/>
      <c r="Q51" s="979"/>
      <c r="R51" s="978"/>
      <c r="S51" s="978"/>
      <c r="T51" s="979"/>
      <c r="U51" s="978"/>
      <c r="V51" s="978"/>
    </row>
    <row r="52" spans="1:22" s="661" customFormat="1" ht="14.25" customHeight="1">
      <c r="A52" s="950">
        <v>8</v>
      </c>
      <c r="B52" s="1001" t="s">
        <v>906</v>
      </c>
      <c r="C52" s="968" t="s">
        <v>907</v>
      </c>
      <c r="D52" s="961" t="s">
        <v>424</v>
      </c>
      <c r="E52" s="971" t="s">
        <v>873</v>
      </c>
      <c r="F52" s="950" t="s">
        <v>847</v>
      </c>
      <c r="G52" s="660">
        <f>G53+G54+G55+G56</f>
        <v>971220</v>
      </c>
      <c r="H52" s="660">
        <f>H53+H54+H55+H56</f>
        <v>227428</v>
      </c>
      <c r="I52" s="979">
        <f>J52+M52</f>
        <v>372775</v>
      </c>
      <c r="J52" s="979">
        <f>K52+L52</f>
        <v>298220</v>
      </c>
      <c r="K52" s="978">
        <v>298220</v>
      </c>
      <c r="L52" s="978">
        <v>0</v>
      </c>
      <c r="M52" s="979">
        <f>N52+Q52+T52</f>
        <v>74555</v>
      </c>
      <c r="N52" s="979">
        <f>O52+P52</f>
        <v>0</v>
      </c>
      <c r="O52" s="978">
        <v>0</v>
      </c>
      <c r="P52" s="978">
        <v>0</v>
      </c>
      <c r="Q52" s="979">
        <f>R52+S52</f>
        <v>74555</v>
      </c>
      <c r="R52" s="978">
        <v>74555</v>
      </c>
      <c r="S52" s="978">
        <v>0</v>
      </c>
      <c r="T52" s="979">
        <f>U52+V52</f>
        <v>0</v>
      </c>
      <c r="U52" s="978">
        <v>0</v>
      </c>
      <c r="V52" s="978">
        <v>0</v>
      </c>
    </row>
    <row r="53" spans="1:22" s="661" customFormat="1" ht="14.25" customHeight="1">
      <c r="A53" s="950"/>
      <c r="B53" s="1002"/>
      <c r="C53" s="969"/>
      <c r="D53" s="961"/>
      <c r="E53" s="971"/>
      <c r="F53" s="950"/>
      <c r="G53" s="660">
        <v>776976</v>
      </c>
      <c r="H53" s="660">
        <v>181941</v>
      </c>
      <c r="I53" s="979"/>
      <c r="J53" s="979"/>
      <c r="K53" s="978"/>
      <c r="L53" s="978"/>
      <c r="M53" s="979"/>
      <c r="N53" s="979"/>
      <c r="O53" s="978"/>
      <c r="P53" s="978"/>
      <c r="Q53" s="979"/>
      <c r="R53" s="978"/>
      <c r="S53" s="978"/>
      <c r="T53" s="979"/>
      <c r="U53" s="978"/>
      <c r="V53" s="978"/>
    </row>
    <row r="54" spans="1:22" s="661" customFormat="1" ht="14.25" customHeight="1">
      <c r="A54" s="950"/>
      <c r="B54" s="1002"/>
      <c r="C54" s="969"/>
      <c r="D54" s="961"/>
      <c r="E54" s="971"/>
      <c r="F54" s="950"/>
      <c r="G54" s="660">
        <v>0</v>
      </c>
      <c r="H54" s="660">
        <v>0</v>
      </c>
      <c r="I54" s="979"/>
      <c r="J54" s="979"/>
      <c r="K54" s="978"/>
      <c r="L54" s="978"/>
      <c r="M54" s="979"/>
      <c r="N54" s="979"/>
      <c r="O54" s="978"/>
      <c r="P54" s="978"/>
      <c r="Q54" s="979"/>
      <c r="R54" s="978"/>
      <c r="S54" s="978"/>
      <c r="T54" s="979"/>
      <c r="U54" s="978"/>
      <c r="V54" s="978"/>
    </row>
    <row r="55" spans="1:22" s="661" customFormat="1" ht="14.25" customHeight="1">
      <c r="A55" s="950"/>
      <c r="B55" s="1002"/>
      <c r="C55" s="969"/>
      <c r="D55" s="961"/>
      <c r="E55" s="971"/>
      <c r="F55" s="950"/>
      <c r="G55" s="660">
        <v>194244</v>
      </c>
      <c r="H55" s="660">
        <v>45487</v>
      </c>
      <c r="I55" s="979"/>
      <c r="J55" s="979"/>
      <c r="K55" s="978"/>
      <c r="L55" s="978"/>
      <c r="M55" s="979"/>
      <c r="N55" s="979"/>
      <c r="O55" s="978"/>
      <c r="P55" s="978"/>
      <c r="Q55" s="979"/>
      <c r="R55" s="978"/>
      <c r="S55" s="978"/>
      <c r="T55" s="979"/>
      <c r="U55" s="978"/>
      <c r="V55" s="978"/>
    </row>
    <row r="56" spans="1:22" s="661" customFormat="1" ht="14.25" customHeight="1">
      <c r="A56" s="950"/>
      <c r="B56" s="1003"/>
      <c r="C56" s="970"/>
      <c r="D56" s="961"/>
      <c r="E56" s="971"/>
      <c r="F56" s="950"/>
      <c r="G56" s="660">
        <v>0</v>
      </c>
      <c r="H56" s="660">
        <v>0</v>
      </c>
      <c r="I56" s="979"/>
      <c r="J56" s="979"/>
      <c r="K56" s="978"/>
      <c r="L56" s="978"/>
      <c r="M56" s="979"/>
      <c r="N56" s="979"/>
      <c r="O56" s="978"/>
      <c r="P56" s="978"/>
      <c r="Q56" s="979"/>
      <c r="R56" s="978"/>
      <c r="S56" s="978"/>
      <c r="T56" s="979"/>
      <c r="U56" s="978"/>
      <c r="V56" s="978"/>
    </row>
    <row r="57" spans="1:22" s="663" customFormat="1">
      <c r="A57" s="980" t="s">
        <v>779</v>
      </c>
      <c r="B57" s="981"/>
      <c r="C57" s="981"/>
      <c r="D57" s="981"/>
      <c r="E57" s="981"/>
      <c r="F57" s="982"/>
      <c r="G57" s="662">
        <f>G17+G22+G27+G32+G37+G42+G47+G52</f>
        <v>87780286</v>
      </c>
      <c r="H57" s="662">
        <f>H17+H22+H27+H32+H37+H42+H47+H52</f>
        <v>48570224</v>
      </c>
      <c r="I57" s="988">
        <f t="shared" ref="I57:V57" si="0">SUM(I17:I56)</f>
        <v>15167188</v>
      </c>
      <c r="J57" s="988">
        <f t="shared" si="0"/>
        <v>10899344</v>
      </c>
      <c r="K57" s="988">
        <f t="shared" si="0"/>
        <v>10899344</v>
      </c>
      <c r="L57" s="988">
        <f t="shared" si="0"/>
        <v>0</v>
      </c>
      <c r="M57" s="988">
        <f t="shared" si="0"/>
        <v>4267844</v>
      </c>
      <c r="N57" s="988">
        <f t="shared" si="0"/>
        <v>4090150</v>
      </c>
      <c r="O57" s="988">
        <f t="shared" si="0"/>
        <v>4090150</v>
      </c>
      <c r="P57" s="988">
        <f t="shared" si="0"/>
        <v>0</v>
      </c>
      <c r="Q57" s="988">
        <f t="shared" si="0"/>
        <v>177694</v>
      </c>
      <c r="R57" s="988">
        <f t="shared" si="0"/>
        <v>177694</v>
      </c>
      <c r="S57" s="988">
        <f t="shared" si="0"/>
        <v>0</v>
      </c>
      <c r="T57" s="988">
        <f t="shared" si="0"/>
        <v>0</v>
      </c>
      <c r="U57" s="988">
        <f t="shared" si="0"/>
        <v>0</v>
      </c>
      <c r="V57" s="988">
        <f t="shared" si="0"/>
        <v>0</v>
      </c>
    </row>
    <row r="58" spans="1:22" s="663" customFormat="1">
      <c r="A58" s="983"/>
      <c r="B58" s="933"/>
      <c r="C58" s="933"/>
      <c r="D58" s="933"/>
      <c r="E58" s="933"/>
      <c r="F58" s="984"/>
      <c r="G58" s="662">
        <f t="shared" ref="G58:H61" si="1">G18+G23+G28+G33+G38+G43+G48+G53</f>
        <v>61071811</v>
      </c>
      <c r="H58" s="662">
        <f t="shared" si="1"/>
        <v>31184351</v>
      </c>
      <c r="I58" s="988"/>
      <c r="J58" s="988"/>
      <c r="K58" s="988"/>
      <c r="L58" s="988"/>
      <c r="M58" s="988"/>
      <c r="N58" s="988"/>
      <c r="O58" s="988"/>
      <c r="P58" s="988"/>
      <c r="Q58" s="988"/>
      <c r="R58" s="988"/>
      <c r="S58" s="988"/>
      <c r="T58" s="988"/>
      <c r="U58" s="988"/>
      <c r="V58" s="988"/>
    </row>
    <row r="59" spans="1:22" s="663" customFormat="1">
      <c r="A59" s="983"/>
      <c r="B59" s="933"/>
      <c r="C59" s="933"/>
      <c r="D59" s="933"/>
      <c r="E59" s="933"/>
      <c r="F59" s="984"/>
      <c r="G59" s="662">
        <f t="shared" si="1"/>
        <v>26211763</v>
      </c>
      <c r="H59" s="662">
        <f t="shared" si="1"/>
        <v>17263038</v>
      </c>
      <c r="I59" s="988"/>
      <c r="J59" s="988"/>
      <c r="K59" s="988"/>
      <c r="L59" s="988"/>
      <c r="M59" s="988"/>
      <c r="N59" s="988"/>
      <c r="O59" s="988"/>
      <c r="P59" s="988"/>
      <c r="Q59" s="988"/>
      <c r="R59" s="988"/>
      <c r="S59" s="988"/>
      <c r="T59" s="988"/>
      <c r="U59" s="988"/>
      <c r="V59" s="988"/>
    </row>
    <row r="60" spans="1:22" s="663" customFormat="1">
      <c r="A60" s="983"/>
      <c r="B60" s="933"/>
      <c r="C60" s="933"/>
      <c r="D60" s="933"/>
      <c r="E60" s="933"/>
      <c r="F60" s="984"/>
      <c r="G60" s="662">
        <f t="shared" si="1"/>
        <v>496712</v>
      </c>
      <c r="H60" s="662">
        <f t="shared" si="1"/>
        <v>122835</v>
      </c>
      <c r="I60" s="988"/>
      <c r="J60" s="988"/>
      <c r="K60" s="988"/>
      <c r="L60" s="988"/>
      <c r="M60" s="988"/>
      <c r="N60" s="988"/>
      <c r="O60" s="988"/>
      <c r="P60" s="988"/>
      <c r="Q60" s="988"/>
      <c r="R60" s="988"/>
      <c r="S60" s="988"/>
      <c r="T60" s="988"/>
      <c r="U60" s="988"/>
      <c r="V60" s="988"/>
    </row>
    <row r="61" spans="1:22" s="663" customFormat="1">
      <c r="A61" s="985"/>
      <c r="B61" s="986"/>
      <c r="C61" s="986"/>
      <c r="D61" s="986"/>
      <c r="E61" s="986"/>
      <c r="F61" s="987"/>
      <c r="G61" s="662">
        <f t="shared" si="1"/>
        <v>0</v>
      </c>
      <c r="H61" s="662">
        <f t="shared" si="1"/>
        <v>0</v>
      </c>
      <c r="I61" s="988"/>
      <c r="J61" s="988"/>
      <c r="K61" s="988"/>
      <c r="L61" s="988"/>
      <c r="M61" s="988"/>
      <c r="N61" s="988"/>
      <c r="O61" s="988"/>
      <c r="P61" s="988"/>
      <c r="Q61" s="988"/>
      <c r="R61" s="988"/>
      <c r="S61" s="988"/>
      <c r="T61" s="988"/>
      <c r="U61" s="988"/>
      <c r="V61" s="988"/>
    </row>
  </sheetData>
  <sheetProtection algorithmName="SHA-512" hashValue="clCAIeBQJoPSQBJkEfvuF93dsbYnbwiB1VC75P1OQ/Cb9A+lE4bNR2tbfgPnVsjJ+ovbSNgwJ4a1Oa/XGXMSgg==" saltValue="1sXczy+Lp7EqwxnQyd8fpw==" spinCount="100000" sheet="1" objects="1" scenarios="1"/>
  <mergeCells count="207">
    <mergeCell ref="U52:U56"/>
    <mergeCell ref="V52:V56"/>
    <mergeCell ref="K52:K56"/>
    <mergeCell ref="L52:L56"/>
    <mergeCell ref="M52:M56"/>
    <mergeCell ref="N52:N56"/>
    <mergeCell ref="O52:O56"/>
    <mergeCell ref="P52:P56"/>
    <mergeCell ref="T57:T61"/>
    <mergeCell ref="U57:U61"/>
    <mergeCell ref="V57:V61"/>
    <mergeCell ref="A57:F61"/>
    <mergeCell ref="I57:I61"/>
    <mergeCell ref="J57:J61"/>
    <mergeCell ref="K57:K61"/>
    <mergeCell ref="L57:L61"/>
    <mergeCell ref="M57:M61"/>
    <mergeCell ref="Q52:Q56"/>
    <mergeCell ref="R52:R56"/>
    <mergeCell ref="S52:S56"/>
    <mergeCell ref="N57:N61"/>
    <mergeCell ref="O57:O61"/>
    <mergeCell ref="P57:P61"/>
    <mergeCell ref="Q57:Q61"/>
    <mergeCell ref="R57:R61"/>
    <mergeCell ref="S57:S61"/>
    <mergeCell ref="V47:V51"/>
    <mergeCell ref="A52:A56"/>
    <mergeCell ref="B52:B56"/>
    <mergeCell ref="C52:C56"/>
    <mergeCell ref="D52:D56"/>
    <mergeCell ref="E52:E56"/>
    <mergeCell ref="F52:F56"/>
    <mergeCell ref="I52:I56"/>
    <mergeCell ref="J52:J56"/>
    <mergeCell ref="O47:O51"/>
    <mergeCell ref="P47:P51"/>
    <mergeCell ref="Q47:Q51"/>
    <mergeCell ref="R47:R51"/>
    <mergeCell ref="S47:S51"/>
    <mergeCell ref="T47:T51"/>
    <mergeCell ref="I47:I51"/>
    <mergeCell ref="J47:J51"/>
    <mergeCell ref="K47:K51"/>
    <mergeCell ref="L47:L51"/>
    <mergeCell ref="M47:M51"/>
    <mergeCell ref="N47:N51"/>
    <mergeCell ref="A47:A51"/>
    <mergeCell ref="B47:B51"/>
    <mergeCell ref="T52:T56"/>
    <mergeCell ref="C47:C51"/>
    <mergeCell ref="D47:D51"/>
    <mergeCell ref="E47:E51"/>
    <mergeCell ref="F47:F51"/>
    <mergeCell ref="Q42:Q46"/>
    <mergeCell ref="R42:R46"/>
    <mergeCell ref="S42:S46"/>
    <mergeCell ref="T42:T46"/>
    <mergeCell ref="U42:U46"/>
    <mergeCell ref="U47:U51"/>
    <mergeCell ref="V42:V46"/>
    <mergeCell ref="K42:K46"/>
    <mergeCell ref="L42:L46"/>
    <mergeCell ref="M42:M46"/>
    <mergeCell ref="N42:N46"/>
    <mergeCell ref="O42:O46"/>
    <mergeCell ref="P42:P46"/>
    <mergeCell ref="U37:U41"/>
    <mergeCell ref="V37:V41"/>
    <mergeCell ref="P37:P41"/>
    <mergeCell ref="Q37:Q41"/>
    <mergeCell ref="R37:R41"/>
    <mergeCell ref="S37:S41"/>
    <mergeCell ref="T37:T41"/>
    <mergeCell ref="A42:A46"/>
    <mergeCell ref="B42:B46"/>
    <mergeCell ref="C42:C46"/>
    <mergeCell ref="D42:D46"/>
    <mergeCell ref="E42:E46"/>
    <mergeCell ref="F42:F46"/>
    <mergeCell ref="I42:I46"/>
    <mergeCell ref="J42:J46"/>
    <mergeCell ref="O37:O41"/>
    <mergeCell ref="I37:I41"/>
    <mergeCell ref="J37:J41"/>
    <mergeCell ref="K37:K41"/>
    <mergeCell ref="L37:L41"/>
    <mergeCell ref="M37:M41"/>
    <mergeCell ref="N37:N41"/>
    <mergeCell ref="A37:A41"/>
    <mergeCell ref="B37:B41"/>
    <mergeCell ref="C37:C41"/>
    <mergeCell ref="D37:D41"/>
    <mergeCell ref="E37:E41"/>
    <mergeCell ref="F37:F41"/>
    <mergeCell ref="R32:R36"/>
    <mergeCell ref="S32:S36"/>
    <mergeCell ref="T32:T36"/>
    <mergeCell ref="U32:U36"/>
    <mergeCell ref="V32:V36"/>
    <mergeCell ref="K32:K36"/>
    <mergeCell ref="L32:L36"/>
    <mergeCell ref="M32:M36"/>
    <mergeCell ref="N32:N36"/>
    <mergeCell ref="O32:O36"/>
    <mergeCell ref="P32:P36"/>
    <mergeCell ref="V27:V31"/>
    <mergeCell ref="A32:A36"/>
    <mergeCell ref="B32:B36"/>
    <mergeCell ref="C32:C36"/>
    <mergeCell ref="D32:D36"/>
    <mergeCell ref="E32:E36"/>
    <mergeCell ref="F32:F36"/>
    <mergeCell ref="I32:I36"/>
    <mergeCell ref="J32:J36"/>
    <mergeCell ref="O27:O31"/>
    <mergeCell ref="P27:P31"/>
    <mergeCell ref="Q27:Q31"/>
    <mergeCell ref="R27:R31"/>
    <mergeCell ref="S27:S31"/>
    <mergeCell ref="T27:T31"/>
    <mergeCell ref="I27:I31"/>
    <mergeCell ref="J27:J31"/>
    <mergeCell ref="K27:K31"/>
    <mergeCell ref="L27:L31"/>
    <mergeCell ref="M27:M31"/>
    <mergeCell ref="N27:N31"/>
    <mergeCell ref="A27:A31"/>
    <mergeCell ref="B27:B31"/>
    <mergeCell ref="Q32:Q36"/>
    <mergeCell ref="C27:C31"/>
    <mergeCell ref="D27:D31"/>
    <mergeCell ref="E27:E31"/>
    <mergeCell ref="F27:F31"/>
    <mergeCell ref="Q22:Q26"/>
    <mergeCell ref="R22:R26"/>
    <mergeCell ref="S22:S26"/>
    <mergeCell ref="T22:T26"/>
    <mergeCell ref="U22:U26"/>
    <mergeCell ref="U27:U31"/>
    <mergeCell ref="V22:V26"/>
    <mergeCell ref="K22:K26"/>
    <mergeCell ref="L22:L26"/>
    <mergeCell ref="M22:M26"/>
    <mergeCell ref="N22:N26"/>
    <mergeCell ref="O22:O26"/>
    <mergeCell ref="P22:P26"/>
    <mergeCell ref="U17:U21"/>
    <mergeCell ref="V17:V21"/>
    <mergeCell ref="P17:P21"/>
    <mergeCell ref="Q17:Q21"/>
    <mergeCell ref="R17:R21"/>
    <mergeCell ref="S17:S21"/>
    <mergeCell ref="T17:T21"/>
    <mergeCell ref="A22:A26"/>
    <mergeCell ref="B22:B26"/>
    <mergeCell ref="C22:C26"/>
    <mergeCell ref="D22:D26"/>
    <mergeCell ref="E22:E26"/>
    <mergeCell ref="F22:F26"/>
    <mergeCell ref="I22:I26"/>
    <mergeCell ref="J22:J26"/>
    <mergeCell ref="O17:O21"/>
    <mergeCell ref="I17:I21"/>
    <mergeCell ref="J17:J21"/>
    <mergeCell ref="K17:K21"/>
    <mergeCell ref="L17:L21"/>
    <mergeCell ref="M17:M21"/>
    <mergeCell ref="N17:N21"/>
    <mergeCell ref="A17:A21"/>
    <mergeCell ref="B17:B21"/>
    <mergeCell ref="C17:C21"/>
    <mergeCell ref="D17:D21"/>
    <mergeCell ref="E17:E21"/>
    <mergeCell ref="F17:F21"/>
    <mergeCell ref="A14:V14"/>
    <mergeCell ref="A15:V15"/>
    <mergeCell ref="A16:V16"/>
    <mergeCell ref="N11:N12"/>
    <mergeCell ref="O11:O12"/>
    <mergeCell ref="P11:P12"/>
    <mergeCell ref="Q11:Q12"/>
    <mergeCell ref="R11:R12"/>
    <mergeCell ref="S11:S12"/>
    <mergeCell ref="I9:I12"/>
    <mergeCell ref="J9:L10"/>
    <mergeCell ref="M9:M12"/>
    <mergeCell ref="N9:V9"/>
    <mergeCell ref="N10:P10"/>
    <mergeCell ref="Q10:S10"/>
    <mergeCell ref="T10:V10"/>
    <mergeCell ref="J11:J12"/>
    <mergeCell ref="K11:K12"/>
    <mergeCell ref="L11:L12"/>
    <mergeCell ref="A5:V5"/>
    <mergeCell ref="A7:A12"/>
    <mergeCell ref="B7:B12"/>
    <mergeCell ref="C7:C12"/>
    <mergeCell ref="D7:D12"/>
    <mergeCell ref="E7:E12"/>
    <mergeCell ref="F7:F12"/>
    <mergeCell ref="G7:G8"/>
    <mergeCell ref="H7:H8"/>
    <mergeCell ref="I7:V8"/>
    <mergeCell ref="T11:T12"/>
    <mergeCell ref="U11:U12"/>
    <mergeCell ref="V11:V12"/>
  </mergeCells>
  <printOptions horizontalCentered="1"/>
  <pageMargins left="0.23622047244094491" right="0.19685039370078741" top="0.98425196850393704" bottom="0.74803149606299213" header="0.31496062992125984" footer="0.31496062992125984"/>
  <pageSetup paperSize="9" scale="46" orientation="landscape" copies="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S148"/>
  <sheetViews>
    <sheetView view="pageBreakPreview" zoomScaleNormal="100" zoomScaleSheetLayoutView="100" workbookViewId="0">
      <selection activeCell="D25" sqref="D25"/>
    </sheetView>
  </sheetViews>
  <sheetFormatPr defaultColWidth="8.75" defaultRowHeight="12.75"/>
  <cols>
    <col min="1" max="1" width="8.375" style="309" customWidth="1"/>
    <col min="2" max="2" width="47.75" style="309" customWidth="1"/>
    <col min="3" max="3" width="10.25" style="309" customWidth="1"/>
    <col min="4" max="4" width="12.25" style="309" customWidth="1"/>
    <col min="5" max="5" width="11.75" style="309" customWidth="1"/>
    <col min="6" max="6" width="12.75" style="309" customWidth="1"/>
    <col min="7" max="7" width="12.875" style="309" customWidth="1"/>
    <col min="8" max="8" width="12" style="309" customWidth="1"/>
    <col min="9" max="9" width="30.75" style="309" customWidth="1"/>
    <col min="10" max="256" width="8.75" style="309"/>
    <col min="257" max="257" width="8.375" style="309" customWidth="1"/>
    <col min="258" max="258" width="47.75" style="309" customWidth="1"/>
    <col min="259" max="259" width="10.25" style="309" customWidth="1"/>
    <col min="260" max="260" width="12.25" style="309" customWidth="1"/>
    <col min="261" max="261" width="11.75" style="309" customWidth="1"/>
    <col min="262" max="262" width="12.75" style="309" customWidth="1"/>
    <col min="263" max="263" width="12.875" style="309" customWidth="1"/>
    <col min="264" max="264" width="12" style="309" customWidth="1"/>
    <col min="265" max="265" width="30.75" style="309" customWidth="1"/>
    <col min="266" max="512" width="8.75" style="309"/>
    <col min="513" max="513" width="8.375" style="309" customWidth="1"/>
    <col min="514" max="514" width="47.75" style="309" customWidth="1"/>
    <col min="515" max="515" width="10.25" style="309" customWidth="1"/>
    <col min="516" max="516" width="12.25" style="309" customWidth="1"/>
    <col min="517" max="517" width="11.75" style="309" customWidth="1"/>
    <col min="518" max="518" width="12.75" style="309" customWidth="1"/>
    <col min="519" max="519" width="12.875" style="309" customWidth="1"/>
    <col min="520" max="520" width="12" style="309" customWidth="1"/>
    <col min="521" max="521" width="30.75" style="309" customWidth="1"/>
    <col min="522" max="768" width="8.75" style="309"/>
    <col min="769" max="769" width="8.375" style="309" customWidth="1"/>
    <col min="770" max="770" width="47.75" style="309" customWidth="1"/>
    <col min="771" max="771" width="10.25" style="309" customWidth="1"/>
    <col min="772" max="772" width="12.25" style="309" customWidth="1"/>
    <col min="773" max="773" width="11.75" style="309" customWidth="1"/>
    <col min="774" max="774" width="12.75" style="309" customWidth="1"/>
    <col min="775" max="775" width="12.875" style="309" customWidth="1"/>
    <col min="776" max="776" width="12" style="309" customWidth="1"/>
    <col min="777" max="777" width="30.75" style="309" customWidth="1"/>
    <col min="778" max="1024" width="8.75" style="309"/>
    <col min="1025" max="1025" width="8.375" style="309" customWidth="1"/>
    <col min="1026" max="1026" width="47.75" style="309" customWidth="1"/>
    <col min="1027" max="1027" width="10.25" style="309" customWidth="1"/>
    <col min="1028" max="1028" width="12.25" style="309" customWidth="1"/>
    <col min="1029" max="1029" width="11.75" style="309" customWidth="1"/>
    <col min="1030" max="1030" width="12.75" style="309" customWidth="1"/>
    <col min="1031" max="1031" width="12.875" style="309" customWidth="1"/>
    <col min="1032" max="1032" width="12" style="309" customWidth="1"/>
    <col min="1033" max="1033" width="30.75" style="309" customWidth="1"/>
    <col min="1034" max="1280" width="8.75" style="309"/>
    <col min="1281" max="1281" width="8.375" style="309" customWidth="1"/>
    <col min="1282" max="1282" width="47.75" style="309" customWidth="1"/>
    <col min="1283" max="1283" width="10.25" style="309" customWidth="1"/>
    <col min="1284" max="1284" width="12.25" style="309" customWidth="1"/>
    <col min="1285" max="1285" width="11.75" style="309" customWidth="1"/>
    <col min="1286" max="1286" width="12.75" style="309" customWidth="1"/>
    <col min="1287" max="1287" width="12.875" style="309" customWidth="1"/>
    <col min="1288" max="1288" width="12" style="309" customWidth="1"/>
    <col min="1289" max="1289" width="30.75" style="309" customWidth="1"/>
    <col min="1290" max="1536" width="8.75" style="309"/>
    <col min="1537" max="1537" width="8.375" style="309" customWidth="1"/>
    <col min="1538" max="1538" width="47.75" style="309" customWidth="1"/>
    <col min="1539" max="1539" width="10.25" style="309" customWidth="1"/>
    <col min="1540" max="1540" width="12.25" style="309" customWidth="1"/>
    <col min="1541" max="1541" width="11.75" style="309" customWidth="1"/>
    <col min="1542" max="1542" width="12.75" style="309" customWidth="1"/>
    <col min="1543" max="1543" width="12.875" style="309" customWidth="1"/>
    <col min="1544" max="1544" width="12" style="309" customWidth="1"/>
    <col min="1545" max="1545" width="30.75" style="309" customWidth="1"/>
    <col min="1546" max="1792" width="8.75" style="309"/>
    <col min="1793" max="1793" width="8.375" style="309" customWidth="1"/>
    <col min="1794" max="1794" width="47.75" style="309" customWidth="1"/>
    <col min="1795" max="1795" width="10.25" style="309" customWidth="1"/>
    <col min="1796" max="1796" width="12.25" style="309" customWidth="1"/>
    <col min="1797" max="1797" width="11.75" style="309" customWidth="1"/>
    <col min="1798" max="1798" width="12.75" style="309" customWidth="1"/>
    <col min="1799" max="1799" width="12.875" style="309" customWidth="1"/>
    <col min="1800" max="1800" width="12" style="309" customWidth="1"/>
    <col min="1801" max="1801" width="30.75" style="309" customWidth="1"/>
    <col min="1802" max="2048" width="8.75" style="309"/>
    <col min="2049" max="2049" width="8.375" style="309" customWidth="1"/>
    <col min="2050" max="2050" width="47.75" style="309" customWidth="1"/>
    <col min="2051" max="2051" width="10.25" style="309" customWidth="1"/>
    <col min="2052" max="2052" width="12.25" style="309" customWidth="1"/>
    <col min="2053" max="2053" width="11.75" style="309" customWidth="1"/>
    <col min="2054" max="2054" width="12.75" style="309" customWidth="1"/>
    <col min="2055" max="2055" width="12.875" style="309" customWidth="1"/>
    <col min="2056" max="2056" width="12" style="309" customWidth="1"/>
    <col min="2057" max="2057" width="30.75" style="309" customWidth="1"/>
    <col min="2058" max="2304" width="8.75" style="309"/>
    <col min="2305" max="2305" width="8.375" style="309" customWidth="1"/>
    <col min="2306" max="2306" width="47.75" style="309" customWidth="1"/>
    <col min="2307" max="2307" width="10.25" style="309" customWidth="1"/>
    <col min="2308" max="2308" width="12.25" style="309" customWidth="1"/>
    <col min="2309" max="2309" width="11.75" style="309" customWidth="1"/>
    <col min="2310" max="2310" width="12.75" style="309" customWidth="1"/>
    <col min="2311" max="2311" width="12.875" style="309" customWidth="1"/>
    <col min="2312" max="2312" width="12" style="309" customWidth="1"/>
    <col min="2313" max="2313" width="30.75" style="309" customWidth="1"/>
    <col min="2314" max="2560" width="8.75" style="309"/>
    <col min="2561" max="2561" width="8.375" style="309" customWidth="1"/>
    <col min="2562" max="2562" width="47.75" style="309" customWidth="1"/>
    <col min="2563" max="2563" width="10.25" style="309" customWidth="1"/>
    <col min="2564" max="2564" width="12.25" style="309" customWidth="1"/>
    <col min="2565" max="2565" width="11.75" style="309" customWidth="1"/>
    <col min="2566" max="2566" width="12.75" style="309" customWidth="1"/>
    <col min="2567" max="2567" width="12.875" style="309" customWidth="1"/>
    <col min="2568" max="2568" width="12" style="309" customWidth="1"/>
    <col min="2569" max="2569" width="30.75" style="309" customWidth="1"/>
    <col min="2570" max="2816" width="8.75" style="309"/>
    <col min="2817" max="2817" width="8.375" style="309" customWidth="1"/>
    <col min="2818" max="2818" width="47.75" style="309" customWidth="1"/>
    <col min="2819" max="2819" width="10.25" style="309" customWidth="1"/>
    <col min="2820" max="2820" width="12.25" style="309" customWidth="1"/>
    <col min="2821" max="2821" width="11.75" style="309" customWidth="1"/>
    <col min="2822" max="2822" width="12.75" style="309" customWidth="1"/>
    <col min="2823" max="2823" width="12.875" style="309" customWidth="1"/>
    <col min="2824" max="2824" width="12" style="309" customWidth="1"/>
    <col min="2825" max="2825" width="30.75" style="309" customWidth="1"/>
    <col min="2826" max="3072" width="8.75" style="309"/>
    <col min="3073" max="3073" width="8.375" style="309" customWidth="1"/>
    <col min="3074" max="3074" width="47.75" style="309" customWidth="1"/>
    <col min="3075" max="3075" width="10.25" style="309" customWidth="1"/>
    <col min="3076" max="3076" width="12.25" style="309" customWidth="1"/>
    <col min="3077" max="3077" width="11.75" style="309" customWidth="1"/>
    <col min="3078" max="3078" width="12.75" style="309" customWidth="1"/>
    <col min="3079" max="3079" width="12.875" style="309" customWidth="1"/>
    <col min="3080" max="3080" width="12" style="309" customWidth="1"/>
    <col min="3081" max="3081" width="30.75" style="309" customWidth="1"/>
    <col min="3082" max="3328" width="8.75" style="309"/>
    <col min="3329" max="3329" width="8.375" style="309" customWidth="1"/>
    <col min="3330" max="3330" width="47.75" style="309" customWidth="1"/>
    <col min="3331" max="3331" width="10.25" style="309" customWidth="1"/>
    <col min="3332" max="3332" width="12.25" style="309" customWidth="1"/>
    <col min="3333" max="3333" width="11.75" style="309" customWidth="1"/>
    <col min="3334" max="3334" width="12.75" style="309" customWidth="1"/>
    <col min="3335" max="3335" width="12.875" style="309" customWidth="1"/>
    <col min="3336" max="3336" width="12" style="309" customWidth="1"/>
    <col min="3337" max="3337" width="30.75" style="309" customWidth="1"/>
    <col min="3338" max="3584" width="8.75" style="309"/>
    <col min="3585" max="3585" width="8.375" style="309" customWidth="1"/>
    <col min="3586" max="3586" width="47.75" style="309" customWidth="1"/>
    <col min="3587" max="3587" width="10.25" style="309" customWidth="1"/>
    <col min="3588" max="3588" width="12.25" style="309" customWidth="1"/>
    <col min="3589" max="3589" width="11.75" style="309" customWidth="1"/>
    <col min="3590" max="3590" width="12.75" style="309" customWidth="1"/>
    <col min="3591" max="3591" width="12.875" style="309" customWidth="1"/>
    <col min="3592" max="3592" width="12" style="309" customWidth="1"/>
    <col min="3593" max="3593" width="30.75" style="309" customWidth="1"/>
    <col min="3594" max="3840" width="8.75" style="309"/>
    <col min="3841" max="3841" width="8.375" style="309" customWidth="1"/>
    <col min="3842" max="3842" width="47.75" style="309" customWidth="1"/>
    <col min="3843" max="3843" width="10.25" style="309" customWidth="1"/>
    <col min="3844" max="3844" width="12.25" style="309" customWidth="1"/>
    <col min="3845" max="3845" width="11.75" style="309" customWidth="1"/>
    <col min="3846" max="3846" width="12.75" style="309" customWidth="1"/>
    <col min="3847" max="3847" width="12.875" style="309" customWidth="1"/>
    <col min="3848" max="3848" width="12" style="309" customWidth="1"/>
    <col min="3849" max="3849" width="30.75" style="309" customWidth="1"/>
    <col min="3850" max="4096" width="8.75" style="309"/>
    <col min="4097" max="4097" width="8.375" style="309" customWidth="1"/>
    <col min="4098" max="4098" width="47.75" style="309" customWidth="1"/>
    <col min="4099" max="4099" width="10.25" style="309" customWidth="1"/>
    <col min="4100" max="4100" width="12.25" style="309" customWidth="1"/>
    <col min="4101" max="4101" width="11.75" style="309" customWidth="1"/>
    <col min="4102" max="4102" width="12.75" style="309" customWidth="1"/>
    <col min="4103" max="4103" width="12.875" style="309" customWidth="1"/>
    <col min="4104" max="4104" width="12" style="309" customWidth="1"/>
    <col min="4105" max="4105" width="30.75" style="309" customWidth="1"/>
    <col min="4106" max="4352" width="8.75" style="309"/>
    <col min="4353" max="4353" width="8.375" style="309" customWidth="1"/>
    <col min="4354" max="4354" width="47.75" style="309" customWidth="1"/>
    <col min="4355" max="4355" width="10.25" style="309" customWidth="1"/>
    <col min="4356" max="4356" width="12.25" style="309" customWidth="1"/>
    <col min="4357" max="4357" width="11.75" style="309" customWidth="1"/>
    <col min="4358" max="4358" width="12.75" style="309" customWidth="1"/>
    <col min="4359" max="4359" width="12.875" style="309" customWidth="1"/>
    <col min="4360" max="4360" width="12" style="309" customWidth="1"/>
    <col min="4361" max="4361" width="30.75" style="309" customWidth="1"/>
    <col min="4362" max="4608" width="8.75" style="309"/>
    <col min="4609" max="4609" width="8.375" style="309" customWidth="1"/>
    <col min="4610" max="4610" width="47.75" style="309" customWidth="1"/>
    <col min="4611" max="4611" width="10.25" style="309" customWidth="1"/>
    <col min="4612" max="4612" width="12.25" style="309" customWidth="1"/>
    <col min="4613" max="4613" width="11.75" style="309" customWidth="1"/>
    <col min="4614" max="4614" width="12.75" style="309" customWidth="1"/>
    <col min="4615" max="4615" width="12.875" style="309" customWidth="1"/>
    <col min="4616" max="4616" width="12" style="309" customWidth="1"/>
    <col min="4617" max="4617" width="30.75" style="309" customWidth="1"/>
    <col min="4618" max="4864" width="8.75" style="309"/>
    <col min="4865" max="4865" width="8.375" style="309" customWidth="1"/>
    <col min="4866" max="4866" width="47.75" style="309" customWidth="1"/>
    <col min="4867" max="4867" width="10.25" style="309" customWidth="1"/>
    <col min="4868" max="4868" width="12.25" style="309" customWidth="1"/>
    <col min="4869" max="4869" width="11.75" style="309" customWidth="1"/>
    <col min="4870" max="4870" width="12.75" style="309" customWidth="1"/>
    <col min="4871" max="4871" width="12.875" style="309" customWidth="1"/>
    <col min="4872" max="4872" width="12" style="309" customWidth="1"/>
    <col min="4873" max="4873" width="30.75" style="309" customWidth="1"/>
    <col min="4874" max="5120" width="8.75" style="309"/>
    <col min="5121" max="5121" width="8.375" style="309" customWidth="1"/>
    <col min="5122" max="5122" width="47.75" style="309" customWidth="1"/>
    <col min="5123" max="5123" width="10.25" style="309" customWidth="1"/>
    <col min="5124" max="5124" width="12.25" style="309" customWidth="1"/>
    <col min="5125" max="5125" width="11.75" style="309" customWidth="1"/>
    <col min="5126" max="5126" width="12.75" style="309" customWidth="1"/>
    <col min="5127" max="5127" width="12.875" style="309" customWidth="1"/>
    <col min="5128" max="5128" width="12" style="309" customWidth="1"/>
    <col min="5129" max="5129" width="30.75" style="309" customWidth="1"/>
    <col min="5130" max="5376" width="8.75" style="309"/>
    <col min="5377" max="5377" width="8.375" style="309" customWidth="1"/>
    <col min="5378" max="5378" width="47.75" style="309" customWidth="1"/>
    <col min="5379" max="5379" width="10.25" style="309" customWidth="1"/>
    <col min="5380" max="5380" width="12.25" style="309" customWidth="1"/>
    <col min="5381" max="5381" width="11.75" style="309" customWidth="1"/>
    <col min="5382" max="5382" width="12.75" style="309" customWidth="1"/>
    <col min="5383" max="5383" width="12.875" style="309" customWidth="1"/>
    <col min="5384" max="5384" width="12" style="309" customWidth="1"/>
    <col min="5385" max="5385" width="30.75" style="309" customWidth="1"/>
    <col min="5386" max="5632" width="8.75" style="309"/>
    <col min="5633" max="5633" width="8.375" style="309" customWidth="1"/>
    <col min="5634" max="5634" width="47.75" style="309" customWidth="1"/>
    <col min="5635" max="5635" width="10.25" style="309" customWidth="1"/>
    <col min="5636" max="5636" width="12.25" style="309" customWidth="1"/>
    <col min="5637" max="5637" width="11.75" style="309" customWidth="1"/>
    <col min="5638" max="5638" width="12.75" style="309" customWidth="1"/>
    <col min="5639" max="5639" width="12.875" style="309" customWidth="1"/>
    <col min="5640" max="5640" width="12" style="309" customWidth="1"/>
    <col min="5641" max="5641" width="30.75" style="309" customWidth="1"/>
    <col min="5642" max="5888" width="8.75" style="309"/>
    <col min="5889" max="5889" width="8.375" style="309" customWidth="1"/>
    <col min="5890" max="5890" width="47.75" style="309" customWidth="1"/>
    <col min="5891" max="5891" width="10.25" style="309" customWidth="1"/>
    <col min="5892" max="5892" width="12.25" style="309" customWidth="1"/>
    <col min="5893" max="5893" width="11.75" style="309" customWidth="1"/>
    <col min="5894" max="5894" width="12.75" style="309" customWidth="1"/>
    <col min="5895" max="5895" width="12.875" style="309" customWidth="1"/>
    <col min="5896" max="5896" width="12" style="309" customWidth="1"/>
    <col min="5897" max="5897" width="30.75" style="309" customWidth="1"/>
    <col min="5898" max="6144" width="8.75" style="309"/>
    <col min="6145" max="6145" width="8.375" style="309" customWidth="1"/>
    <col min="6146" max="6146" width="47.75" style="309" customWidth="1"/>
    <col min="6147" max="6147" width="10.25" style="309" customWidth="1"/>
    <col min="6148" max="6148" width="12.25" style="309" customWidth="1"/>
    <col min="6149" max="6149" width="11.75" style="309" customWidth="1"/>
    <col min="6150" max="6150" width="12.75" style="309" customWidth="1"/>
    <col min="6151" max="6151" width="12.875" style="309" customWidth="1"/>
    <col min="6152" max="6152" width="12" style="309" customWidth="1"/>
    <col min="6153" max="6153" width="30.75" style="309" customWidth="1"/>
    <col min="6154" max="6400" width="8.75" style="309"/>
    <col min="6401" max="6401" width="8.375" style="309" customWidth="1"/>
    <col min="6402" max="6402" width="47.75" style="309" customWidth="1"/>
    <col min="6403" max="6403" width="10.25" style="309" customWidth="1"/>
    <col min="6404" max="6404" width="12.25" style="309" customWidth="1"/>
    <col min="6405" max="6405" width="11.75" style="309" customWidth="1"/>
    <col min="6406" max="6406" width="12.75" style="309" customWidth="1"/>
    <col min="6407" max="6407" width="12.875" style="309" customWidth="1"/>
    <col min="6408" max="6408" width="12" style="309" customWidth="1"/>
    <col min="6409" max="6409" width="30.75" style="309" customWidth="1"/>
    <col min="6410" max="6656" width="8.75" style="309"/>
    <col min="6657" max="6657" width="8.375" style="309" customWidth="1"/>
    <col min="6658" max="6658" width="47.75" style="309" customWidth="1"/>
    <col min="6659" max="6659" width="10.25" style="309" customWidth="1"/>
    <col min="6660" max="6660" width="12.25" style="309" customWidth="1"/>
    <col min="6661" max="6661" width="11.75" style="309" customWidth="1"/>
    <col min="6662" max="6662" width="12.75" style="309" customWidth="1"/>
    <col min="6663" max="6663" width="12.875" style="309" customWidth="1"/>
    <col min="6664" max="6664" width="12" style="309" customWidth="1"/>
    <col min="6665" max="6665" width="30.75" style="309" customWidth="1"/>
    <col min="6666" max="6912" width="8.75" style="309"/>
    <col min="6913" max="6913" width="8.375" style="309" customWidth="1"/>
    <col min="6914" max="6914" width="47.75" style="309" customWidth="1"/>
    <col min="6915" max="6915" width="10.25" style="309" customWidth="1"/>
    <col min="6916" max="6916" width="12.25" style="309" customWidth="1"/>
    <col min="6917" max="6917" width="11.75" style="309" customWidth="1"/>
    <col min="6918" max="6918" width="12.75" style="309" customWidth="1"/>
    <col min="6919" max="6919" width="12.875" style="309" customWidth="1"/>
    <col min="6920" max="6920" width="12" style="309" customWidth="1"/>
    <col min="6921" max="6921" width="30.75" style="309" customWidth="1"/>
    <col min="6922" max="7168" width="8.75" style="309"/>
    <col min="7169" max="7169" width="8.375" style="309" customWidth="1"/>
    <col min="7170" max="7170" width="47.75" style="309" customWidth="1"/>
    <col min="7171" max="7171" width="10.25" style="309" customWidth="1"/>
    <col min="7172" max="7172" width="12.25" style="309" customWidth="1"/>
    <col min="7173" max="7173" width="11.75" style="309" customWidth="1"/>
    <col min="7174" max="7174" width="12.75" style="309" customWidth="1"/>
    <col min="7175" max="7175" width="12.875" style="309" customWidth="1"/>
    <col min="7176" max="7176" width="12" style="309" customWidth="1"/>
    <col min="7177" max="7177" width="30.75" style="309" customWidth="1"/>
    <col min="7178" max="7424" width="8.75" style="309"/>
    <col min="7425" max="7425" width="8.375" style="309" customWidth="1"/>
    <col min="7426" max="7426" width="47.75" style="309" customWidth="1"/>
    <col min="7427" max="7427" width="10.25" style="309" customWidth="1"/>
    <col min="7428" max="7428" width="12.25" style="309" customWidth="1"/>
    <col min="7429" max="7429" width="11.75" style="309" customWidth="1"/>
    <col min="7430" max="7430" width="12.75" style="309" customWidth="1"/>
    <col min="7431" max="7431" width="12.875" style="309" customWidth="1"/>
    <col min="7432" max="7432" width="12" style="309" customWidth="1"/>
    <col min="7433" max="7433" width="30.75" style="309" customWidth="1"/>
    <col min="7434" max="7680" width="8.75" style="309"/>
    <col min="7681" max="7681" width="8.375" style="309" customWidth="1"/>
    <col min="7682" max="7682" width="47.75" style="309" customWidth="1"/>
    <col min="7683" max="7683" width="10.25" style="309" customWidth="1"/>
    <col min="7684" max="7684" width="12.25" style="309" customWidth="1"/>
    <col min="7685" max="7685" width="11.75" style="309" customWidth="1"/>
    <col min="7686" max="7686" width="12.75" style="309" customWidth="1"/>
    <col min="7687" max="7687" width="12.875" style="309" customWidth="1"/>
    <col min="7688" max="7688" width="12" style="309" customWidth="1"/>
    <col min="7689" max="7689" width="30.75" style="309" customWidth="1"/>
    <col min="7690" max="7936" width="8.75" style="309"/>
    <col min="7937" max="7937" width="8.375" style="309" customWidth="1"/>
    <col min="7938" max="7938" width="47.75" style="309" customWidth="1"/>
    <col min="7939" max="7939" width="10.25" style="309" customWidth="1"/>
    <col min="7940" max="7940" width="12.25" style="309" customWidth="1"/>
    <col min="7941" max="7941" width="11.75" style="309" customWidth="1"/>
    <col min="7942" max="7942" width="12.75" style="309" customWidth="1"/>
    <col min="7943" max="7943" width="12.875" style="309" customWidth="1"/>
    <col min="7944" max="7944" width="12" style="309" customWidth="1"/>
    <col min="7945" max="7945" width="30.75" style="309" customWidth="1"/>
    <col min="7946" max="8192" width="8.75" style="309"/>
    <col min="8193" max="8193" width="8.375" style="309" customWidth="1"/>
    <col min="8194" max="8194" width="47.75" style="309" customWidth="1"/>
    <col min="8195" max="8195" width="10.25" style="309" customWidth="1"/>
    <col min="8196" max="8196" width="12.25" style="309" customWidth="1"/>
    <col min="8197" max="8197" width="11.75" style="309" customWidth="1"/>
    <col min="8198" max="8198" width="12.75" style="309" customWidth="1"/>
    <col min="8199" max="8199" width="12.875" style="309" customWidth="1"/>
    <col min="8200" max="8200" width="12" style="309" customWidth="1"/>
    <col min="8201" max="8201" width="30.75" style="309" customWidth="1"/>
    <col min="8202" max="8448" width="8.75" style="309"/>
    <col min="8449" max="8449" width="8.375" style="309" customWidth="1"/>
    <col min="8450" max="8450" width="47.75" style="309" customWidth="1"/>
    <col min="8451" max="8451" width="10.25" style="309" customWidth="1"/>
    <col min="8452" max="8452" width="12.25" style="309" customWidth="1"/>
    <col min="8453" max="8453" width="11.75" style="309" customWidth="1"/>
    <col min="8454" max="8454" width="12.75" style="309" customWidth="1"/>
    <col min="8455" max="8455" width="12.875" style="309" customWidth="1"/>
    <col min="8456" max="8456" width="12" style="309" customWidth="1"/>
    <col min="8457" max="8457" width="30.75" style="309" customWidth="1"/>
    <col min="8458" max="8704" width="8.75" style="309"/>
    <col min="8705" max="8705" width="8.375" style="309" customWidth="1"/>
    <col min="8706" max="8706" width="47.75" style="309" customWidth="1"/>
    <col min="8707" max="8707" width="10.25" style="309" customWidth="1"/>
    <col min="8708" max="8708" width="12.25" style="309" customWidth="1"/>
    <col min="8709" max="8709" width="11.75" style="309" customWidth="1"/>
    <col min="8710" max="8710" width="12.75" style="309" customWidth="1"/>
    <col min="8711" max="8711" width="12.875" style="309" customWidth="1"/>
    <col min="8712" max="8712" width="12" style="309" customWidth="1"/>
    <col min="8713" max="8713" width="30.75" style="309" customWidth="1"/>
    <col min="8714" max="8960" width="8.75" style="309"/>
    <col min="8961" max="8961" width="8.375" style="309" customWidth="1"/>
    <col min="8962" max="8962" width="47.75" style="309" customWidth="1"/>
    <col min="8963" max="8963" width="10.25" style="309" customWidth="1"/>
    <col min="8964" max="8964" width="12.25" style="309" customWidth="1"/>
    <col min="8965" max="8965" width="11.75" style="309" customWidth="1"/>
    <col min="8966" max="8966" width="12.75" style="309" customWidth="1"/>
    <col min="8967" max="8967" width="12.875" style="309" customWidth="1"/>
    <col min="8968" max="8968" width="12" style="309" customWidth="1"/>
    <col min="8969" max="8969" width="30.75" style="309" customWidth="1"/>
    <col min="8970" max="9216" width="8.75" style="309"/>
    <col min="9217" max="9217" width="8.375" style="309" customWidth="1"/>
    <col min="9218" max="9218" width="47.75" style="309" customWidth="1"/>
    <col min="9219" max="9219" width="10.25" style="309" customWidth="1"/>
    <col min="9220" max="9220" width="12.25" style="309" customWidth="1"/>
    <col min="9221" max="9221" width="11.75" style="309" customWidth="1"/>
    <col min="9222" max="9222" width="12.75" style="309" customWidth="1"/>
    <col min="9223" max="9223" width="12.875" style="309" customWidth="1"/>
    <col min="9224" max="9224" width="12" style="309" customWidth="1"/>
    <col min="9225" max="9225" width="30.75" style="309" customWidth="1"/>
    <col min="9226" max="9472" width="8.75" style="309"/>
    <col min="9473" max="9473" width="8.375" style="309" customWidth="1"/>
    <col min="9474" max="9474" width="47.75" style="309" customWidth="1"/>
    <col min="9475" max="9475" width="10.25" style="309" customWidth="1"/>
    <col min="9476" max="9476" width="12.25" style="309" customWidth="1"/>
    <col min="9477" max="9477" width="11.75" style="309" customWidth="1"/>
    <col min="9478" max="9478" width="12.75" style="309" customWidth="1"/>
    <col min="9479" max="9479" width="12.875" style="309" customWidth="1"/>
    <col min="9480" max="9480" width="12" style="309" customWidth="1"/>
    <col min="9481" max="9481" width="30.75" style="309" customWidth="1"/>
    <col min="9482" max="9728" width="8.75" style="309"/>
    <col min="9729" max="9729" width="8.375" style="309" customWidth="1"/>
    <col min="9730" max="9730" width="47.75" style="309" customWidth="1"/>
    <col min="9731" max="9731" width="10.25" style="309" customWidth="1"/>
    <col min="9732" max="9732" width="12.25" style="309" customWidth="1"/>
    <col min="9733" max="9733" width="11.75" style="309" customWidth="1"/>
    <col min="9734" max="9734" width="12.75" style="309" customWidth="1"/>
    <col min="9735" max="9735" width="12.875" style="309" customWidth="1"/>
    <col min="9736" max="9736" width="12" style="309" customWidth="1"/>
    <col min="9737" max="9737" width="30.75" style="309" customWidth="1"/>
    <col min="9738" max="9984" width="8.75" style="309"/>
    <col min="9985" max="9985" width="8.375" style="309" customWidth="1"/>
    <col min="9986" max="9986" width="47.75" style="309" customWidth="1"/>
    <col min="9987" max="9987" width="10.25" style="309" customWidth="1"/>
    <col min="9988" max="9988" width="12.25" style="309" customWidth="1"/>
    <col min="9989" max="9989" width="11.75" style="309" customWidth="1"/>
    <col min="9990" max="9990" width="12.75" style="309" customWidth="1"/>
    <col min="9991" max="9991" width="12.875" style="309" customWidth="1"/>
    <col min="9992" max="9992" width="12" style="309" customWidth="1"/>
    <col min="9993" max="9993" width="30.75" style="309" customWidth="1"/>
    <col min="9994" max="10240" width="8.75" style="309"/>
    <col min="10241" max="10241" width="8.375" style="309" customWidth="1"/>
    <col min="10242" max="10242" width="47.75" style="309" customWidth="1"/>
    <col min="10243" max="10243" width="10.25" style="309" customWidth="1"/>
    <col min="10244" max="10244" width="12.25" style="309" customWidth="1"/>
    <col min="10245" max="10245" width="11.75" style="309" customWidth="1"/>
    <col min="10246" max="10246" width="12.75" style="309" customWidth="1"/>
    <col min="10247" max="10247" width="12.875" style="309" customWidth="1"/>
    <col min="10248" max="10248" width="12" style="309" customWidth="1"/>
    <col min="10249" max="10249" width="30.75" style="309" customWidth="1"/>
    <col min="10250" max="10496" width="8.75" style="309"/>
    <col min="10497" max="10497" width="8.375" style="309" customWidth="1"/>
    <col min="10498" max="10498" width="47.75" style="309" customWidth="1"/>
    <col min="10499" max="10499" width="10.25" style="309" customWidth="1"/>
    <col min="10500" max="10500" width="12.25" style="309" customWidth="1"/>
    <col min="10501" max="10501" width="11.75" style="309" customWidth="1"/>
    <col min="10502" max="10502" width="12.75" style="309" customWidth="1"/>
    <col min="10503" max="10503" width="12.875" style="309" customWidth="1"/>
    <col min="10504" max="10504" width="12" style="309" customWidth="1"/>
    <col min="10505" max="10505" width="30.75" style="309" customWidth="1"/>
    <col min="10506" max="10752" width="8.75" style="309"/>
    <col min="10753" max="10753" width="8.375" style="309" customWidth="1"/>
    <col min="10754" max="10754" width="47.75" style="309" customWidth="1"/>
    <col min="10755" max="10755" width="10.25" style="309" customWidth="1"/>
    <col min="10756" max="10756" width="12.25" style="309" customWidth="1"/>
    <col min="10757" max="10757" width="11.75" style="309" customWidth="1"/>
    <col min="10758" max="10758" width="12.75" style="309" customWidth="1"/>
    <col min="10759" max="10759" width="12.875" style="309" customWidth="1"/>
    <col min="10760" max="10760" width="12" style="309" customWidth="1"/>
    <col min="10761" max="10761" width="30.75" style="309" customWidth="1"/>
    <col min="10762" max="11008" width="8.75" style="309"/>
    <col min="11009" max="11009" width="8.375" style="309" customWidth="1"/>
    <col min="11010" max="11010" width="47.75" style="309" customWidth="1"/>
    <col min="11011" max="11011" width="10.25" style="309" customWidth="1"/>
    <col min="11012" max="11012" width="12.25" style="309" customWidth="1"/>
    <col min="11013" max="11013" width="11.75" style="309" customWidth="1"/>
    <col min="11014" max="11014" width="12.75" style="309" customWidth="1"/>
    <col min="11015" max="11015" width="12.875" style="309" customWidth="1"/>
    <col min="11016" max="11016" width="12" style="309" customWidth="1"/>
    <col min="11017" max="11017" width="30.75" style="309" customWidth="1"/>
    <col min="11018" max="11264" width="8.75" style="309"/>
    <col min="11265" max="11265" width="8.375" style="309" customWidth="1"/>
    <col min="11266" max="11266" width="47.75" style="309" customWidth="1"/>
    <col min="11267" max="11267" width="10.25" style="309" customWidth="1"/>
    <col min="11268" max="11268" width="12.25" style="309" customWidth="1"/>
    <col min="11269" max="11269" width="11.75" style="309" customWidth="1"/>
    <col min="11270" max="11270" width="12.75" style="309" customWidth="1"/>
    <col min="11271" max="11271" width="12.875" style="309" customWidth="1"/>
    <col min="11272" max="11272" width="12" style="309" customWidth="1"/>
    <col min="11273" max="11273" width="30.75" style="309" customWidth="1"/>
    <col min="11274" max="11520" width="8.75" style="309"/>
    <col min="11521" max="11521" width="8.375" style="309" customWidth="1"/>
    <col min="11522" max="11522" width="47.75" style="309" customWidth="1"/>
    <col min="11523" max="11523" width="10.25" style="309" customWidth="1"/>
    <col min="11524" max="11524" width="12.25" style="309" customWidth="1"/>
    <col min="11525" max="11525" width="11.75" style="309" customWidth="1"/>
    <col min="11526" max="11526" width="12.75" style="309" customWidth="1"/>
    <col min="11527" max="11527" width="12.875" style="309" customWidth="1"/>
    <col min="11528" max="11528" width="12" style="309" customWidth="1"/>
    <col min="11529" max="11529" width="30.75" style="309" customWidth="1"/>
    <col min="11530" max="11776" width="8.75" style="309"/>
    <col min="11777" max="11777" width="8.375" style="309" customWidth="1"/>
    <col min="11778" max="11778" width="47.75" style="309" customWidth="1"/>
    <col min="11779" max="11779" width="10.25" style="309" customWidth="1"/>
    <col min="11780" max="11780" width="12.25" style="309" customWidth="1"/>
    <col min="11781" max="11781" width="11.75" style="309" customWidth="1"/>
    <col min="11782" max="11782" width="12.75" style="309" customWidth="1"/>
    <col min="11783" max="11783" width="12.875" style="309" customWidth="1"/>
    <col min="11784" max="11784" width="12" style="309" customWidth="1"/>
    <col min="11785" max="11785" width="30.75" style="309" customWidth="1"/>
    <col min="11786" max="12032" width="8.75" style="309"/>
    <col min="12033" max="12033" width="8.375" style="309" customWidth="1"/>
    <col min="12034" max="12034" width="47.75" style="309" customWidth="1"/>
    <col min="12035" max="12035" width="10.25" style="309" customWidth="1"/>
    <col min="12036" max="12036" width="12.25" style="309" customWidth="1"/>
    <col min="12037" max="12037" width="11.75" style="309" customWidth="1"/>
    <col min="12038" max="12038" width="12.75" style="309" customWidth="1"/>
    <col min="12039" max="12039" width="12.875" style="309" customWidth="1"/>
    <col min="12040" max="12040" width="12" style="309" customWidth="1"/>
    <col min="12041" max="12041" width="30.75" style="309" customWidth="1"/>
    <col min="12042" max="12288" width="8.75" style="309"/>
    <col min="12289" max="12289" width="8.375" style="309" customWidth="1"/>
    <col min="12290" max="12290" width="47.75" style="309" customWidth="1"/>
    <col min="12291" max="12291" width="10.25" style="309" customWidth="1"/>
    <col min="12292" max="12292" width="12.25" style="309" customWidth="1"/>
    <col min="12293" max="12293" width="11.75" style="309" customWidth="1"/>
    <col min="12294" max="12294" width="12.75" style="309" customWidth="1"/>
    <col min="12295" max="12295" width="12.875" style="309" customWidth="1"/>
    <col min="12296" max="12296" width="12" style="309" customWidth="1"/>
    <col min="12297" max="12297" width="30.75" style="309" customWidth="1"/>
    <col min="12298" max="12544" width="8.75" style="309"/>
    <col min="12545" max="12545" width="8.375" style="309" customWidth="1"/>
    <col min="12546" max="12546" width="47.75" style="309" customWidth="1"/>
    <col min="12547" max="12547" width="10.25" style="309" customWidth="1"/>
    <col min="12548" max="12548" width="12.25" style="309" customWidth="1"/>
    <col min="12549" max="12549" width="11.75" style="309" customWidth="1"/>
    <col min="12550" max="12550" width="12.75" style="309" customWidth="1"/>
    <col min="12551" max="12551" width="12.875" style="309" customWidth="1"/>
    <col min="12552" max="12552" width="12" style="309" customWidth="1"/>
    <col min="12553" max="12553" width="30.75" style="309" customWidth="1"/>
    <col min="12554" max="12800" width="8.75" style="309"/>
    <col min="12801" max="12801" width="8.375" style="309" customWidth="1"/>
    <col min="12802" max="12802" width="47.75" style="309" customWidth="1"/>
    <col min="12803" max="12803" width="10.25" style="309" customWidth="1"/>
    <col min="12804" max="12804" width="12.25" style="309" customWidth="1"/>
    <col min="12805" max="12805" width="11.75" style="309" customWidth="1"/>
    <col min="12806" max="12806" width="12.75" style="309" customWidth="1"/>
    <col min="12807" max="12807" width="12.875" style="309" customWidth="1"/>
    <col min="12808" max="12808" width="12" style="309" customWidth="1"/>
    <col min="12809" max="12809" width="30.75" style="309" customWidth="1"/>
    <col min="12810" max="13056" width="8.75" style="309"/>
    <col min="13057" max="13057" width="8.375" style="309" customWidth="1"/>
    <col min="13058" max="13058" width="47.75" style="309" customWidth="1"/>
    <col min="13059" max="13059" width="10.25" style="309" customWidth="1"/>
    <col min="13060" max="13060" width="12.25" style="309" customWidth="1"/>
    <col min="13061" max="13061" width="11.75" style="309" customWidth="1"/>
    <col min="13062" max="13062" width="12.75" style="309" customWidth="1"/>
    <col min="13063" max="13063" width="12.875" style="309" customWidth="1"/>
    <col min="13064" max="13064" width="12" style="309" customWidth="1"/>
    <col min="13065" max="13065" width="30.75" style="309" customWidth="1"/>
    <col min="13066" max="13312" width="8.75" style="309"/>
    <col min="13313" max="13313" width="8.375" style="309" customWidth="1"/>
    <col min="13314" max="13314" width="47.75" style="309" customWidth="1"/>
    <col min="13315" max="13315" width="10.25" style="309" customWidth="1"/>
    <col min="13316" max="13316" width="12.25" style="309" customWidth="1"/>
    <col min="13317" max="13317" width="11.75" style="309" customWidth="1"/>
    <col min="13318" max="13318" width="12.75" style="309" customWidth="1"/>
    <col min="13319" max="13319" width="12.875" style="309" customWidth="1"/>
    <col min="13320" max="13320" width="12" style="309" customWidth="1"/>
    <col min="13321" max="13321" width="30.75" style="309" customWidth="1"/>
    <col min="13322" max="13568" width="8.75" style="309"/>
    <col min="13569" max="13569" width="8.375" style="309" customWidth="1"/>
    <col min="13570" max="13570" width="47.75" style="309" customWidth="1"/>
    <col min="13571" max="13571" width="10.25" style="309" customWidth="1"/>
    <col min="13572" max="13572" width="12.25" style="309" customWidth="1"/>
    <col min="13573" max="13573" width="11.75" style="309" customWidth="1"/>
    <col min="13574" max="13574" width="12.75" style="309" customWidth="1"/>
    <col min="13575" max="13575" width="12.875" style="309" customWidth="1"/>
    <col min="13576" max="13576" width="12" style="309" customWidth="1"/>
    <col min="13577" max="13577" width="30.75" style="309" customWidth="1"/>
    <col min="13578" max="13824" width="8.75" style="309"/>
    <col min="13825" max="13825" width="8.375" style="309" customWidth="1"/>
    <col min="13826" max="13826" width="47.75" style="309" customWidth="1"/>
    <col min="13827" max="13827" width="10.25" style="309" customWidth="1"/>
    <col min="13828" max="13828" width="12.25" style="309" customWidth="1"/>
    <col min="13829" max="13829" width="11.75" style="309" customWidth="1"/>
    <col min="13830" max="13830" width="12.75" style="309" customWidth="1"/>
    <col min="13831" max="13831" width="12.875" style="309" customWidth="1"/>
    <col min="13832" max="13832" width="12" style="309" customWidth="1"/>
    <col min="13833" max="13833" width="30.75" style="309" customWidth="1"/>
    <col min="13834" max="14080" width="8.75" style="309"/>
    <col min="14081" max="14081" width="8.375" style="309" customWidth="1"/>
    <col min="14082" max="14082" width="47.75" style="309" customWidth="1"/>
    <col min="14083" max="14083" width="10.25" style="309" customWidth="1"/>
    <col min="14084" max="14084" width="12.25" style="309" customWidth="1"/>
    <col min="14085" max="14085" width="11.75" style="309" customWidth="1"/>
    <col min="14086" max="14086" width="12.75" style="309" customWidth="1"/>
    <col min="14087" max="14087" width="12.875" style="309" customWidth="1"/>
    <col min="14088" max="14088" width="12" style="309" customWidth="1"/>
    <col min="14089" max="14089" width="30.75" style="309" customWidth="1"/>
    <col min="14090" max="14336" width="8.75" style="309"/>
    <col min="14337" max="14337" width="8.375" style="309" customWidth="1"/>
    <col min="14338" max="14338" width="47.75" style="309" customWidth="1"/>
    <col min="14339" max="14339" width="10.25" style="309" customWidth="1"/>
    <col min="14340" max="14340" width="12.25" style="309" customWidth="1"/>
    <col min="14341" max="14341" width="11.75" style="309" customWidth="1"/>
    <col min="14342" max="14342" width="12.75" style="309" customWidth="1"/>
    <col min="14343" max="14343" width="12.875" style="309" customWidth="1"/>
    <col min="14344" max="14344" width="12" style="309" customWidth="1"/>
    <col min="14345" max="14345" width="30.75" style="309" customWidth="1"/>
    <col min="14346" max="14592" width="8.75" style="309"/>
    <col min="14593" max="14593" width="8.375" style="309" customWidth="1"/>
    <col min="14594" max="14594" width="47.75" style="309" customWidth="1"/>
    <col min="14595" max="14595" width="10.25" style="309" customWidth="1"/>
    <col min="14596" max="14596" width="12.25" style="309" customWidth="1"/>
    <col min="14597" max="14597" width="11.75" style="309" customWidth="1"/>
    <col min="14598" max="14598" width="12.75" style="309" customWidth="1"/>
    <col min="14599" max="14599" width="12.875" style="309" customWidth="1"/>
    <col min="14600" max="14600" width="12" style="309" customWidth="1"/>
    <col min="14601" max="14601" width="30.75" style="309" customWidth="1"/>
    <col min="14602" max="14848" width="8.75" style="309"/>
    <col min="14849" max="14849" width="8.375" style="309" customWidth="1"/>
    <col min="14850" max="14850" width="47.75" style="309" customWidth="1"/>
    <col min="14851" max="14851" width="10.25" style="309" customWidth="1"/>
    <col min="14852" max="14852" width="12.25" style="309" customWidth="1"/>
    <col min="14853" max="14853" width="11.75" style="309" customWidth="1"/>
    <col min="14854" max="14854" width="12.75" style="309" customWidth="1"/>
    <col min="14855" max="14855" width="12.875" style="309" customWidth="1"/>
    <col min="14856" max="14856" width="12" style="309" customWidth="1"/>
    <col min="14857" max="14857" width="30.75" style="309" customWidth="1"/>
    <col min="14858" max="15104" width="8.75" style="309"/>
    <col min="15105" max="15105" width="8.375" style="309" customWidth="1"/>
    <col min="15106" max="15106" width="47.75" style="309" customWidth="1"/>
    <col min="15107" max="15107" width="10.25" style="309" customWidth="1"/>
    <col min="15108" max="15108" width="12.25" style="309" customWidth="1"/>
    <col min="15109" max="15109" width="11.75" style="309" customWidth="1"/>
    <col min="15110" max="15110" width="12.75" style="309" customWidth="1"/>
    <col min="15111" max="15111" width="12.875" style="309" customWidth="1"/>
    <col min="15112" max="15112" width="12" style="309" customWidth="1"/>
    <col min="15113" max="15113" width="30.75" style="309" customWidth="1"/>
    <col min="15114" max="15360" width="8.75" style="309"/>
    <col min="15361" max="15361" width="8.375" style="309" customWidth="1"/>
    <col min="15362" max="15362" width="47.75" style="309" customWidth="1"/>
    <col min="15363" max="15363" width="10.25" style="309" customWidth="1"/>
    <col min="15364" max="15364" width="12.25" style="309" customWidth="1"/>
    <col min="15365" max="15365" width="11.75" style="309" customWidth="1"/>
    <col min="15366" max="15366" width="12.75" style="309" customWidth="1"/>
    <col min="15367" max="15367" width="12.875" style="309" customWidth="1"/>
    <col min="15368" max="15368" width="12" style="309" customWidth="1"/>
    <col min="15369" max="15369" width="30.75" style="309" customWidth="1"/>
    <col min="15370" max="15616" width="8.75" style="309"/>
    <col min="15617" max="15617" width="8.375" style="309" customWidth="1"/>
    <col min="15618" max="15618" width="47.75" style="309" customWidth="1"/>
    <col min="15619" max="15619" width="10.25" style="309" customWidth="1"/>
    <col min="15620" max="15620" width="12.25" style="309" customWidth="1"/>
    <col min="15621" max="15621" width="11.75" style="309" customWidth="1"/>
    <col min="15622" max="15622" width="12.75" style="309" customWidth="1"/>
    <col min="15623" max="15623" width="12.875" style="309" customWidth="1"/>
    <col min="15624" max="15624" width="12" style="309" customWidth="1"/>
    <col min="15625" max="15625" width="30.75" style="309" customWidth="1"/>
    <col min="15626" max="15872" width="8.75" style="309"/>
    <col min="15873" max="15873" width="8.375" style="309" customWidth="1"/>
    <col min="15874" max="15874" width="47.75" style="309" customWidth="1"/>
    <col min="15875" max="15875" width="10.25" style="309" customWidth="1"/>
    <col min="15876" max="15876" width="12.25" style="309" customWidth="1"/>
    <col min="15877" max="15877" width="11.75" style="309" customWidth="1"/>
    <col min="15878" max="15878" width="12.75" style="309" customWidth="1"/>
    <col min="15879" max="15879" width="12.875" style="309" customWidth="1"/>
    <col min="15880" max="15880" width="12" style="309" customWidth="1"/>
    <col min="15881" max="15881" width="30.75" style="309" customWidth="1"/>
    <col min="15882" max="16128" width="8.75" style="309"/>
    <col min="16129" max="16129" width="8.375" style="309" customWidth="1"/>
    <col min="16130" max="16130" width="47.75" style="309" customWidth="1"/>
    <col min="16131" max="16131" width="10.25" style="309" customWidth="1"/>
    <col min="16132" max="16132" width="12.25" style="309" customWidth="1"/>
    <col min="16133" max="16133" width="11.75" style="309" customWidth="1"/>
    <col min="16134" max="16134" width="12.75" style="309" customWidth="1"/>
    <col min="16135" max="16135" width="12.875" style="309" customWidth="1"/>
    <col min="16136" max="16136" width="12" style="309" customWidth="1"/>
    <col min="16137" max="16137" width="30.75" style="309" customWidth="1"/>
    <col min="16138" max="16384" width="8.75" style="309"/>
  </cols>
  <sheetData>
    <row r="1" spans="1:253" ht="15">
      <c r="A1" s="304"/>
      <c r="B1" s="305"/>
      <c r="C1" s="306"/>
      <c r="D1" s="307"/>
      <c r="E1" s="308"/>
      <c r="F1" s="1005"/>
      <c r="G1" s="1005"/>
      <c r="H1" s="1005"/>
      <c r="I1" s="307" t="s">
        <v>407</v>
      </c>
      <c r="J1" s="307"/>
      <c r="K1" s="307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4"/>
      <c r="CY1" s="304"/>
      <c r="CZ1" s="304"/>
      <c r="DA1" s="304"/>
      <c r="DB1" s="304"/>
      <c r="DC1" s="304"/>
      <c r="DD1" s="304"/>
      <c r="DE1" s="304"/>
      <c r="DF1" s="304"/>
      <c r="DG1" s="304"/>
      <c r="DH1" s="304"/>
      <c r="DI1" s="304"/>
      <c r="DJ1" s="304"/>
      <c r="DK1" s="304"/>
      <c r="DL1" s="304"/>
      <c r="DM1" s="304"/>
      <c r="DN1" s="304"/>
      <c r="DO1" s="304"/>
      <c r="DP1" s="304"/>
      <c r="DQ1" s="304"/>
      <c r="DR1" s="304"/>
      <c r="DS1" s="304"/>
      <c r="DT1" s="304"/>
      <c r="DU1" s="304"/>
      <c r="DV1" s="304"/>
      <c r="DW1" s="304"/>
      <c r="DX1" s="304"/>
      <c r="DY1" s="304"/>
      <c r="DZ1" s="304"/>
      <c r="EA1" s="304"/>
      <c r="EB1" s="304"/>
      <c r="EC1" s="304"/>
      <c r="ED1" s="304"/>
      <c r="EE1" s="304"/>
      <c r="EF1" s="304"/>
      <c r="EG1" s="304"/>
      <c r="EH1" s="304"/>
      <c r="EI1" s="304"/>
      <c r="EJ1" s="304"/>
      <c r="EK1" s="304"/>
      <c r="EL1" s="304"/>
      <c r="EM1" s="304"/>
      <c r="EN1" s="304"/>
      <c r="EO1" s="304"/>
      <c r="EP1" s="304"/>
      <c r="EQ1" s="304"/>
      <c r="ER1" s="304"/>
      <c r="ES1" s="304"/>
      <c r="ET1" s="304"/>
      <c r="EU1" s="304"/>
      <c r="EV1" s="304"/>
      <c r="EW1" s="304"/>
      <c r="EX1" s="304"/>
      <c r="EY1" s="304"/>
      <c r="EZ1" s="304"/>
      <c r="FA1" s="304"/>
      <c r="FB1" s="304"/>
      <c r="FC1" s="304"/>
      <c r="FD1" s="304"/>
      <c r="FE1" s="304"/>
      <c r="FF1" s="304"/>
      <c r="FG1" s="304"/>
      <c r="FH1" s="304"/>
      <c r="FI1" s="304"/>
      <c r="FJ1" s="304"/>
      <c r="FK1" s="304"/>
      <c r="FL1" s="304"/>
      <c r="FM1" s="304"/>
      <c r="FN1" s="304"/>
      <c r="FO1" s="304"/>
      <c r="FP1" s="304"/>
      <c r="FQ1" s="304"/>
      <c r="FR1" s="304"/>
      <c r="FS1" s="304"/>
      <c r="FT1" s="304"/>
      <c r="FU1" s="304"/>
      <c r="FV1" s="304"/>
      <c r="FW1" s="304"/>
      <c r="FX1" s="304"/>
      <c r="FY1" s="304"/>
      <c r="FZ1" s="304"/>
      <c r="GA1" s="304"/>
      <c r="GB1" s="304"/>
      <c r="GC1" s="304"/>
      <c r="GD1" s="304"/>
      <c r="GE1" s="304"/>
      <c r="GF1" s="304"/>
      <c r="GG1" s="304"/>
      <c r="GH1" s="304"/>
      <c r="GI1" s="304"/>
      <c r="GJ1" s="304"/>
      <c r="GK1" s="304"/>
      <c r="GL1" s="304"/>
      <c r="GM1" s="304"/>
      <c r="GN1" s="304"/>
      <c r="GO1" s="304"/>
      <c r="GP1" s="304"/>
      <c r="GQ1" s="304"/>
      <c r="GR1" s="304"/>
      <c r="GS1" s="304"/>
      <c r="GT1" s="304"/>
      <c r="GU1" s="304"/>
      <c r="GV1" s="304"/>
      <c r="GW1" s="304"/>
      <c r="GX1" s="304"/>
      <c r="GY1" s="304"/>
      <c r="GZ1" s="304"/>
      <c r="HA1" s="304"/>
      <c r="HB1" s="304"/>
      <c r="HC1" s="304"/>
      <c r="HD1" s="304"/>
      <c r="HE1" s="304"/>
      <c r="HF1" s="304"/>
      <c r="HG1" s="304"/>
      <c r="HH1" s="304"/>
      <c r="HI1" s="304"/>
      <c r="HJ1" s="304"/>
      <c r="HK1" s="304"/>
      <c r="HL1" s="304"/>
      <c r="HM1" s="304"/>
      <c r="HN1" s="304"/>
      <c r="HO1" s="304"/>
      <c r="HP1" s="304"/>
      <c r="HQ1" s="304"/>
      <c r="HR1" s="304"/>
      <c r="HS1" s="304"/>
      <c r="HT1" s="304"/>
      <c r="HU1" s="304"/>
      <c r="HV1" s="304"/>
      <c r="HW1" s="304"/>
      <c r="HX1" s="304"/>
      <c r="HY1" s="304"/>
      <c r="HZ1" s="304"/>
      <c r="IA1" s="304"/>
      <c r="IB1" s="304"/>
      <c r="IC1" s="304"/>
      <c r="ID1" s="304"/>
      <c r="IE1" s="304"/>
      <c r="IF1" s="304"/>
      <c r="IG1" s="304"/>
      <c r="IH1" s="304"/>
      <c r="II1" s="304"/>
      <c r="IJ1" s="304"/>
      <c r="IK1" s="304"/>
      <c r="IL1" s="304"/>
      <c r="IM1" s="304"/>
      <c r="IN1" s="304"/>
      <c r="IO1" s="304"/>
      <c r="IP1" s="304"/>
      <c r="IQ1" s="304"/>
      <c r="IR1" s="304"/>
      <c r="IS1" s="304"/>
    </row>
    <row r="2" spans="1:253" ht="15">
      <c r="A2" s="304"/>
      <c r="B2" s="305"/>
      <c r="C2" s="306"/>
      <c r="D2" s="307"/>
      <c r="E2" s="308"/>
      <c r="F2" s="1005"/>
      <c r="G2" s="1005"/>
      <c r="H2" s="1005"/>
      <c r="I2" s="307" t="s">
        <v>910</v>
      </c>
      <c r="J2" s="307"/>
      <c r="K2" s="307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  <c r="FH2" s="304"/>
      <c r="FI2" s="304"/>
      <c r="FJ2" s="304"/>
      <c r="FK2" s="304"/>
      <c r="FL2" s="304"/>
      <c r="FM2" s="304"/>
      <c r="FN2" s="304"/>
      <c r="FO2" s="304"/>
      <c r="FP2" s="304"/>
      <c r="FQ2" s="304"/>
      <c r="FR2" s="304"/>
      <c r="FS2" s="304"/>
      <c r="FT2" s="304"/>
      <c r="FU2" s="304"/>
      <c r="FV2" s="304"/>
      <c r="FW2" s="304"/>
      <c r="FX2" s="304"/>
      <c r="FY2" s="304"/>
      <c r="FZ2" s="304"/>
      <c r="GA2" s="304"/>
      <c r="GB2" s="304"/>
      <c r="GC2" s="304"/>
      <c r="GD2" s="304"/>
      <c r="GE2" s="304"/>
      <c r="GF2" s="304"/>
      <c r="GG2" s="304"/>
      <c r="GH2" s="304"/>
      <c r="GI2" s="304"/>
      <c r="GJ2" s="304"/>
      <c r="GK2" s="304"/>
      <c r="GL2" s="304"/>
      <c r="GM2" s="304"/>
      <c r="GN2" s="304"/>
      <c r="GO2" s="304"/>
      <c r="GP2" s="304"/>
      <c r="GQ2" s="304"/>
      <c r="GR2" s="304"/>
      <c r="GS2" s="304"/>
      <c r="GT2" s="304"/>
      <c r="GU2" s="304"/>
      <c r="GV2" s="304"/>
      <c r="GW2" s="304"/>
      <c r="GX2" s="304"/>
      <c r="GY2" s="304"/>
      <c r="GZ2" s="304"/>
      <c r="HA2" s="304"/>
      <c r="HB2" s="304"/>
      <c r="HC2" s="304"/>
      <c r="HD2" s="304"/>
      <c r="HE2" s="304"/>
      <c r="HF2" s="304"/>
      <c r="HG2" s="304"/>
      <c r="HH2" s="304"/>
      <c r="HI2" s="304"/>
      <c r="HJ2" s="304"/>
      <c r="HK2" s="304"/>
      <c r="HL2" s="304"/>
      <c r="HM2" s="304"/>
      <c r="HN2" s="304"/>
      <c r="HO2" s="304"/>
      <c r="HP2" s="304"/>
      <c r="HQ2" s="304"/>
      <c r="HR2" s="304"/>
      <c r="HS2" s="304"/>
      <c r="HT2" s="304"/>
      <c r="HU2" s="304"/>
      <c r="HV2" s="304"/>
      <c r="HW2" s="304"/>
      <c r="HX2" s="304"/>
      <c r="HY2" s="304"/>
      <c r="HZ2" s="304"/>
      <c r="IA2" s="304"/>
      <c r="IB2" s="304"/>
      <c r="IC2" s="304"/>
      <c r="ID2" s="304"/>
      <c r="IE2" s="304"/>
      <c r="IF2" s="304"/>
      <c r="IG2" s="304"/>
      <c r="IH2" s="304"/>
      <c r="II2" s="304"/>
      <c r="IJ2" s="304"/>
      <c r="IK2" s="304"/>
      <c r="IL2" s="304"/>
      <c r="IM2" s="304"/>
      <c r="IN2" s="304"/>
      <c r="IO2" s="304"/>
      <c r="IP2" s="304"/>
      <c r="IQ2" s="304"/>
      <c r="IR2" s="304"/>
      <c r="IS2" s="304"/>
    </row>
    <row r="3" spans="1:253" ht="15">
      <c r="A3" s="304"/>
      <c r="B3" s="305"/>
      <c r="C3" s="306"/>
      <c r="D3" s="307"/>
      <c r="E3" s="308"/>
      <c r="F3" s="1005"/>
      <c r="G3" s="1005"/>
      <c r="H3" s="1005"/>
      <c r="I3" s="307" t="s">
        <v>911</v>
      </c>
      <c r="J3" s="307"/>
      <c r="K3" s="307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4"/>
      <c r="DU3" s="304"/>
      <c r="DV3" s="304"/>
      <c r="DW3" s="304"/>
      <c r="DX3" s="304"/>
      <c r="DY3" s="304"/>
      <c r="DZ3" s="304"/>
      <c r="EA3" s="304"/>
      <c r="EB3" s="304"/>
      <c r="EC3" s="304"/>
      <c r="ED3" s="304"/>
      <c r="EE3" s="304"/>
      <c r="EF3" s="304"/>
      <c r="EG3" s="304"/>
      <c r="EH3" s="304"/>
      <c r="EI3" s="304"/>
      <c r="EJ3" s="304"/>
      <c r="EK3" s="304"/>
      <c r="EL3" s="304"/>
      <c r="EM3" s="304"/>
      <c r="EN3" s="304"/>
      <c r="EO3" s="304"/>
      <c r="EP3" s="304"/>
      <c r="EQ3" s="304"/>
      <c r="ER3" s="304"/>
      <c r="ES3" s="304"/>
      <c r="ET3" s="304"/>
      <c r="EU3" s="304"/>
      <c r="EV3" s="304"/>
      <c r="EW3" s="304"/>
      <c r="EX3" s="304"/>
      <c r="EY3" s="304"/>
      <c r="EZ3" s="304"/>
      <c r="FA3" s="304"/>
      <c r="FB3" s="304"/>
      <c r="FC3" s="304"/>
      <c r="FD3" s="304"/>
      <c r="FE3" s="304"/>
      <c r="FF3" s="304"/>
      <c r="FG3" s="304"/>
      <c r="FH3" s="304"/>
      <c r="FI3" s="304"/>
      <c r="FJ3" s="304"/>
      <c r="FK3" s="304"/>
      <c r="FL3" s="304"/>
      <c r="FM3" s="304"/>
      <c r="FN3" s="304"/>
      <c r="FO3" s="304"/>
      <c r="FP3" s="304"/>
      <c r="FQ3" s="304"/>
      <c r="FR3" s="304"/>
      <c r="FS3" s="304"/>
      <c r="FT3" s="304"/>
      <c r="FU3" s="304"/>
      <c r="FV3" s="304"/>
      <c r="FW3" s="304"/>
      <c r="FX3" s="304"/>
      <c r="FY3" s="304"/>
      <c r="FZ3" s="304"/>
      <c r="GA3" s="304"/>
      <c r="GB3" s="304"/>
      <c r="GC3" s="304"/>
      <c r="GD3" s="304"/>
      <c r="GE3" s="304"/>
      <c r="GF3" s="304"/>
      <c r="GG3" s="304"/>
      <c r="GH3" s="304"/>
      <c r="GI3" s="304"/>
      <c r="GJ3" s="304"/>
      <c r="GK3" s="304"/>
      <c r="GL3" s="304"/>
      <c r="GM3" s="304"/>
      <c r="GN3" s="304"/>
      <c r="GO3" s="304"/>
      <c r="GP3" s="304"/>
      <c r="GQ3" s="304"/>
      <c r="GR3" s="304"/>
      <c r="GS3" s="304"/>
      <c r="GT3" s="304"/>
      <c r="GU3" s="304"/>
      <c r="GV3" s="304"/>
      <c r="GW3" s="304"/>
      <c r="GX3" s="304"/>
      <c r="GY3" s="304"/>
      <c r="GZ3" s="304"/>
      <c r="HA3" s="304"/>
      <c r="HB3" s="304"/>
      <c r="HC3" s="304"/>
      <c r="HD3" s="304"/>
      <c r="HE3" s="304"/>
      <c r="HF3" s="304"/>
      <c r="HG3" s="304"/>
      <c r="HH3" s="304"/>
      <c r="HI3" s="304"/>
      <c r="HJ3" s="304"/>
      <c r="HK3" s="304"/>
      <c r="HL3" s="304"/>
      <c r="HM3" s="304"/>
      <c r="HN3" s="304"/>
      <c r="HO3" s="304"/>
      <c r="HP3" s="304"/>
      <c r="HQ3" s="304"/>
      <c r="HR3" s="304"/>
      <c r="HS3" s="304"/>
      <c r="HT3" s="304"/>
      <c r="HU3" s="304"/>
      <c r="HV3" s="304"/>
      <c r="HW3" s="304"/>
      <c r="HX3" s="304"/>
      <c r="HY3" s="304"/>
      <c r="HZ3" s="304"/>
      <c r="IA3" s="304"/>
      <c r="IB3" s="304"/>
      <c r="IC3" s="304"/>
      <c r="ID3" s="304"/>
      <c r="IE3" s="304"/>
      <c r="IF3" s="304"/>
      <c r="IG3" s="304"/>
      <c r="IH3" s="304"/>
      <c r="II3" s="304"/>
      <c r="IJ3" s="304"/>
      <c r="IK3" s="304"/>
      <c r="IL3" s="304"/>
      <c r="IM3" s="304"/>
      <c r="IN3" s="304"/>
      <c r="IO3" s="304"/>
      <c r="IP3" s="304"/>
      <c r="IQ3" s="304"/>
      <c r="IR3" s="304"/>
      <c r="IS3" s="304"/>
    </row>
    <row r="4" spans="1:253" ht="6" customHeight="1">
      <c r="H4" s="263"/>
    </row>
    <row r="5" spans="1:253" ht="18.75">
      <c r="A5" s="1006" t="s">
        <v>408</v>
      </c>
      <c r="B5" s="1006"/>
      <c r="C5" s="1006"/>
      <c r="D5" s="1006"/>
      <c r="E5" s="1006"/>
      <c r="F5" s="1006"/>
      <c r="G5" s="1006"/>
      <c r="H5" s="1006"/>
      <c r="I5" s="1006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  <c r="FQ5" s="265"/>
      <c r="FR5" s="265"/>
      <c r="FS5" s="265"/>
      <c r="FT5" s="265"/>
      <c r="FU5" s="265"/>
      <c r="FV5" s="265"/>
      <c r="FW5" s="265"/>
      <c r="FX5" s="265"/>
      <c r="FY5" s="265"/>
      <c r="FZ5" s="265"/>
      <c r="GA5" s="265"/>
      <c r="GB5" s="265"/>
      <c r="GC5" s="265"/>
      <c r="GD5" s="265"/>
      <c r="GE5" s="265"/>
      <c r="GF5" s="265"/>
      <c r="GG5" s="265"/>
      <c r="GH5" s="265"/>
      <c r="GI5" s="265"/>
      <c r="GJ5" s="265"/>
      <c r="GK5" s="265"/>
      <c r="GL5" s="265"/>
      <c r="GM5" s="265"/>
      <c r="GN5" s="265"/>
      <c r="GO5" s="265"/>
      <c r="GP5" s="265"/>
      <c r="GQ5" s="265"/>
      <c r="GR5" s="265"/>
      <c r="GS5" s="265"/>
      <c r="GT5" s="265"/>
      <c r="GU5" s="265"/>
      <c r="GV5" s="265"/>
      <c r="GW5" s="265"/>
      <c r="GX5" s="265"/>
      <c r="GY5" s="265"/>
      <c r="GZ5" s="265"/>
      <c r="HA5" s="265"/>
      <c r="HB5" s="265"/>
      <c r="HC5" s="265"/>
      <c r="HD5" s="265"/>
      <c r="HE5" s="265"/>
      <c r="HF5" s="265"/>
      <c r="HG5" s="265"/>
      <c r="HH5" s="265"/>
      <c r="HI5" s="265"/>
      <c r="HJ5" s="265"/>
      <c r="HK5" s="265"/>
      <c r="HL5" s="265"/>
      <c r="HM5" s="265"/>
      <c r="HN5" s="265"/>
      <c r="HO5" s="265"/>
      <c r="HP5" s="265"/>
      <c r="HQ5" s="265"/>
      <c r="HR5" s="265"/>
      <c r="HS5" s="265"/>
      <c r="HT5" s="265"/>
      <c r="HU5" s="265"/>
      <c r="HV5" s="265"/>
      <c r="HW5" s="265"/>
      <c r="HX5" s="265"/>
      <c r="HY5" s="265"/>
      <c r="HZ5" s="265"/>
      <c r="IA5" s="265"/>
      <c r="IB5" s="265"/>
      <c r="IC5" s="265"/>
      <c r="ID5" s="265"/>
      <c r="IE5" s="265"/>
      <c r="IF5" s="265"/>
      <c r="IG5" s="265"/>
      <c r="IH5" s="265"/>
      <c r="II5" s="265"/>
      <c r="IJ5" s="265"/>
      <c r="IK5" s="265"/>
      <c r="IL5" s="265"/>
      <c r="IM5" s="265"/>
      <c r="IN5" s="265"/>
      <c r="IO5" s="265"/>
      <c r="IP5" s="265"/>
      <c r="IQ5" s="265"/>
      <c r="IR5" s="265"/>
      <c r="IS5" s="265"/>
    </row>
    <row r="6" spans="1:253" ht="18.75">
      <c r="A6" s="1006" t="s">
        <v>277</v>
      </c>
      <c r="B6" s="1006"/>
      <c r="C6" s="1006"/>
      <c r="D6" s="1006"/>
      <c r="E6" s="1006"/>
      <c r="F6" s="1006"/>
      <c r="G6" s="1006"/>
      <c r="H6" s="1006"/>
      <c r="I6" s="1006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265"/>
      <c r="DU6" s="265"/>
      <c r="DV6" s="265"/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5"/>
      <c r="EI6" s="265"/>
      <c r="EJ6" s="265"/>
      <c r="EK6" s="265"/>
      <c r="EL6" s="265"/>
      <c r="EM6" s="265"/>
      <c r="EN6" s="265"/>
      <c r="EO6" s="265"/>
      <c r="EP6" s="265"/>
      <c r="EQ6" s="265"/>
      <c r="ER6" s="265"/>
      <c r="ES6" s="265"/>
      <c r="ET6" s="265"/>
      <c r="EU6" s="265"/>
      <c r="EV6" s="265"/>
      <c r="EW6" s="265"/>
      <c r="EX6" s="265"/>
      <c r="EY6" s="265"/>
      <c r="EZ6" s="265"/>
      <c r="FA6" s="265"/>
      <c r="FB6" s="265"/>
      <c r="FC6" s="265"/>
      <c r="FD6" s="265"/>
      <c r="FE6" s="265"/>
      <c r="FF6" s="265"/>
      <c r="FG6" s="265"/>
      <c r="FH6" s="265"/>
      <c r="FI6" s="265"/>
      <c r="FJ6" s="265"/>
      <c r="FK6" s="265"/>
      <c r="FL6" s="265"/>
      <c r="FM6" s="265"/>
      <c r="FN6" s="265"/>
      <c r="FO6" s="265"/>
      <c r="FP6" s="265"/>
      <c r="FQ6" s="265"/>
      <c r="FR6" s="265"/>
      <c r="FS6" s="265"/>
      <c r="FT6" s="265"/>
      <c r="FU6" s="265"/>
      <c r="FV6" s="265"/>
      <c r="FW6" s="265"/>
      <c r="FX6" s="265"/>
      <c r="FY6" s="265"/>
      <c r="FZ6" s="265"/>
      <c r="GA6" s="265"/>
      <c r="GB6" s="265"/>
      <c r="GC6" s="265"/>
      <c r="GD6" s="265"/>
      <c r="GE6" s="265"/>
      <c r="GF6" s="265"/>
      <c r="GG6" s="265"/>
      <c r="GH6" s="265"/>
      <c r="GI6" s="265"/>
      <c r="GJ6" s="265"/>
      <c r="GK6" s="265"/>
      <c r="GL6" s="265"/>
      <c r="GM6" s="265"/>
      <c r="GN6" s="265"/>
      <c r="GO6" s="265"/>
      <c r="GP6" s="265"/>
      <c r="GQ6" s="265"/>
      <c r="GR6" s="265"/>
      <c r="GS6" s="265"/>
      <c r="GT6" s="265"/>
      <c r="GU6" s="265"/>
      <c r="GV6" s="265"/>
      <c r="GW6" s="265"/>
      <c r="GX6" s="265"/>
      <c r="GY6" s="265"/>
      <c r="GZ6" s="265"/>
      <c r="HA6" s="265"/>
      <c r="HB6" s="265"/>
      <c r="HC6" s="265"/>
      <c r="HD6" s="265"/>
      <c r="HE6" s="265"/>
      <c r="HF6" s="265"/>
      <c r="HG6" s="265"/>
      <c r="HH6" s="265"/>
      <c r="HI6" s="265"/>
      <c r="HJ6" s="265"/>
      <c r="HK6" s="265"/>
      <c r="HL6" s="265"/>
      <c r="HM6" s="265"/>
      <c r="HN6" s="265"/>
      <c r="HO6" s="265"/>
      <c r="HP6" s="265"/>
      <c r="HQ6" s="265"/>
      <c r="HR6" s="265"/>
      <c r="HS6" s="265"/>
      <c r="HT6" s="265"/>
      <c r="HU6" s="265"/>
      <c r="HV6" s="265"/>
      <c r="HW6" s="265"/>
      <c r="HX6" s="265"/>
      <c r="HY6" s="265"/>
      <c r="HZ6" s="265"/>
      <c r="IA6" s="265"/>
      <c r="IB6" s="265"/>
      <c r="IC6" s="265"/>
      <c r="ID6" s="265"/>
      <c r="IE6" s="265"/>
      <c r="IF6" s="265"/>
      <c r="IG6" s="265"/>
      <c r="IH6" s="265"/>
      <c r="II6" s="265"/>
      <c r="IJ6" s="265"/>
      <c r="IK6" s="265"/>
      <c r="IL6" s="265"/>
      <c r="IM6" s="265"/>
      <c r="IN6" s="265"/>
      <c r="IO6" s="265"/>
      <c r="IP6" s="265"/>
      <c r="IQ6" s="265"/>
      <c r="IR6" s="265"/>
      <c r="IS6" s="265"/>
    </row>
    <row r="7" spans="1:253">
      <c r="H7" s="310"/>
      <c r="I7" s="311" t="s">
        <v>15</v>
      </c>
    </row>
    <row r="8" spans="1:253" s="672" customFormat="1" ht="13.5" customHeight="1">
      <c r="A8" s="1007" t="s">
        <v>124</v>
      </c>
      <c r="B8" s="1007" t="s">
        <v>409</v>
      </c>
      <c r="C8" s="1007" t="s">
        <v>410</v>
      </c>
      <c r="D8" s="1007" t="s">
        <v>411</v>
      </c>
      <c r="E8" s="1007" t="s">
        <v>412</v>
      </c>
      <c r="F8" s="1008" t="s">
        <v>413</v>
      </c>
      <c r="G8" s="1008"/>
      <c r="H8" s="1008"/>
      <c r="I8" s="1007" t="s">
        <v>414</v>
      </c>
      <c r="J8" s="682"/>
      <c r="K8" s="682"/>
      <c r="L8" s="682"/>
      <c r="M8" s="682"/>
      <c r="N8" s="682"/>
      <c r="O8" s="682"/>
      <c r="P8" s="682"/>
      <c r="Q8" s="682"/>
      <c r="R8" s="682"/>
      <c r="S8" s="682"/>
      <c r="T8" s="682"/>
      <c r="U8" s="682"/>
      <c r="V8" s="682"/>
      <c r="W8" s="682"/>
      <c r="X8" s="682"/>
      <c r="Y8" s="682"/>
      <c r="Z8" s="682"/>
      <c r="AA8" s="682"/>
      <c r="AB8" s="682"/>
      <c r="AC8" s="682"/>
      <c r="AD8" s="682"/>
      <c r="AE8" s="682"/>
      <c r="AF8" s="682"/>
      <c r="AG8" s="682"/>
      <c r="AH8" s="682"/>
      <c r="AI8" s="682"/>
      <c r="AJ8" s="682"/>
      <c r="AK8" s="682"/>
      <c r="AL8" s="682"/>
      <c r="AM8" s="682"/>
      <c r="AN8" s="682"/>
      <c r="AO8" s="682"/>
      <c r="AP8" s="682"/>
      <c r="AQ8" s="682"/>
      <c r="AR8" s="682"/>
      <c r="AS8" s="682"/>
      <c r="AT8" s="682"/>
      <c r="AU8" s="682"/>
      <c r="AV8" s="682"/>
      <c r="AW8" s="682"/>
      <c r="AX8" s="682"/>
      <c r="AY8" s="682"/>
      <c r="AZ8" s="682"/>
      <c r="BA8" s="682"/>
      <c r="BB8" s="682"/>
      <c r="BC8" s="682"/>
      <c r="BD8" s="682"/>
      <c r="BE8" s="682"/>
      <c r="BF8" s="682"/>
      <c r="BG8" s="682"/>
      <c r="BH8" s="682"/>
      <c r="BI8" s="682"/>
      <c r="BJ8" s="682"/>
      <c r="BK8" s="682"/>
      <c r="BL8" s="682"/>
      <c r="BM8" s="682"/>
      <c r="BN8" s="682"/>
      <c r="BO8" s="682"/>
      <c r="BP8" s="682"/>
      <c r="BQ8" s="682"/>
      <c r="BR8" s="682"/>
      <c r="BS8" s="682"/>
      <c r="BT8" s="682"/>
      <c r="BU8" s="682"/>
      <c r="BV8" s="682"/>
      <c r="BW8" s="682"/>
      <c r="BX8" s="682"/>
      <c r="BY8" s="682"/>
      <c r="BZ8" s="682"/>
      <c r="CA8" s="682"/>
      <c r="CB8" s="682"/>
      <c r="CC8" s="682"/>
      <c r="CD8" s="682"/>
      <c r="CE8" s="682"/>
      <c r="CF8" s="682"/>
      <c r="CG8" s="682"/>
      <c r="CH8" s="682"/>
      <c r="CI8" s="682"/>
      <c r="CJ8" s="682"/>
      <c r="CK8" s="682"/>
      <c r="CL8" s="682"/>
      <c r="CM8" s="682"/>
      <c r="CN8" s="682"/>
      <c r="CO8" s="682"/>
      <c r="CP8" s="682"/>
      <c r="CQ8" s="682"/>
      <c r="CR8" s="682"/>
      <c r="CS8" s="682"/>
      <c r="CT8" s="682"/>
      <c r="CU8" s="682"/>
      <c r="CV8" s="682"/>
      <c r="CW8" s="682"/>
      <c r="CX8" s="682"/>
      <c r="CY8" s="682"/>
      <c r="CZ8" s="682"/>
      <c r="DA8" s="682"/>
      <c r="DB8" s="682"/>
      <c r="DC8" s="682"/>
      <c r="DD8" s="682"/>
      <c r="DE8" s="682"/>
      <c r="DF8" s="682"/>
      <c r="DG8" s="682"/>
      <c r="DH8" s="682"/>
      <c r="DI8" s="682"/>
      <c r="DJ8" s="682"/>
      <c r="DK8" s="682"/>
      <c r="DL8" s="682"/>
      <c r="DM8" s="682"/>
      <c r="DN8" s="682"/>
      <c r="DO8" s="682"/>
      <c r="DP8" s="682"/>
      <c r="DQ8" s="682"/>
      <c r="DR8" s="682"/>
      <c r="DS8" s="682"/>
      <c r="DT8" s="682"/>
      <c r="DU8" s="682"/>
      <c r="DV8" s="682"/>
      <c r="DW8" s="682"/>
      <c r="DX8" s="682"/>
      <c r="DY8" s="682"/>
      <c r="DZ8" s="682"/>
      <c r="EA8" s="682"/>
      <c r="EB8" s="682"/>
      <c r="EC8" s="682"/>
      <c r="ED8" s="682"/>
      <c r="EE8" s="682"/>
      <c r="EF8" s="682"/>
      <c r="EG8" s="682"/>
      <c r="EH8" s="682"/>
      <c r="EI8" s="682"/>
      <c r="EJ8" s="682"/>
      <c r="EK8" s="682"/>
      <c r="EL8" s="682"/>
      <c r="EM8" s="682"/>
      <c r="EN8" s="682"/>
      <c r="EO8" s="682"/>
      <c r="EP8" s="682"/>
      <c r="EQ8" s="682"/>
      <c r="ER8" s="682"/>
      <c r="ES8" s="682"/>
      <c r="ET8" s="682"/>
      <c r="EU8" s="682"/>
      <c r="EV8" s="682"/>
      <c r="EW8" s="682"/>
      <c r="EX8" s="682"/>
      <c r="EY8" s="682"/>
      <c r="EZ8" s="682"/>
      <c r="FA8" s="682"/>
      <c r="FB8" s="682"/>
      <c r="FC8" s="682"/>
      <c r="FD8" s="682"/>
      <c r="FE8" s="682"/>
      <c r="FF8" s="682"/>
      <c r="FG8" s="682"/>
      <c r="FH8" s="682"/>
      <c r="FI8" s="682"/>
      <c r="FJ8" s="682"/>
      <c r="FK8" s="682"/>
      <c r="FL8" s="682"/>
      <c r="FM8" s="682"/>
      <c r="FN8" s="682"/>
      <c r="FO8" s="682"/>
      <c r="FP8" s="682"/>
      <c r="FQ8" s="682"/>
      <c r="FR8" s="682"/>
      <c r="FS8" s="682"/>
      <c r="FT8" s="682"/>
      <c r="FU8" s="682"/>
      <c r="FV8" s="682"/>
      <c r="FW8" s="682"/>
      <c r="FX8" s="682"/>
      <c r="FY8" s="682"/>
      <c r="FZ8" s="682"/>
      <c r="GA8" s="682"/>
      <c r="GB8" s="682"/>
      <c r="GC8" s="682"/>
      <c r="GD8" s="682"/>
      <c r="GE8" s="682"/>
      <c r="GF8" s="682"/>
      <c r="GG8" s="682"/>
      <c r="GH8" s="682"/>
      <c r="GI8" s="682"/>
      <c r="GJ8" s="682"/>
      <c r="GK8" s="682"/>
      <c r="GL8" s="682"/>
      <c r="GM8" s="682"/>
      <c r="GN8" s="682"/>
      <c r="GO8" s="682"/>
      <c r="GP8" s="682"/>
      <c r="GQ8" s="682"/>
      <c r="GR8" s="682"/>
      <c r="GS8" s="682"/>
      <c r="GT8" s="682"/>
      <c r="GU8" s="682"/>
      <c r="GV8" s="682"/>
      <c r="GW8" s="682"/>
      <c r="GX8" s="682"/>
      <c r="GY8" s="682"/>
      <c r="GZ8" s="682"/>
      <c r="HA8" s="682"/>
      <c r="HB8" s="682"/>
      <c r="HC8" s="682"/>
      <c r="HD8" s="682"/>
      <c r="HE8" s="682"/>
      <c r="HF8" s="682"/>
      <c r="HG8" s="682"/>
      <c r="HH8" s="682"/>
      <c r="HI8" s="682"/>
      <c r="HJ8" s="682"/>
      <c r="HK8" s="682"/>
      <c r="HL8" s="682"/>
      <c r="HM8" s="682"/>
      <c r="HN8" s="682"/>
      <c r="HO8" s="682"/>
      <c r="HP8" s="682"/>
      <c r="HQ8" s="682"/>
      <c r="HR8" s="682"/>
      <c r="HS8" s="682"/>
      <c r="HT8" s="682"/>
      <c r="HU8" s="682"/>
      <c r="HV8" s="682"/>
      <c r="HW8" s="682"/>
      <c r="HX8" s="682"/>
      <c r="HY8" s="682"/>
      <c r="HZ8" s="682"/>
      <c r="IA8" s="682"/>
      <c r="IB8" s="682"/>
      <c r="IC8" s="682"/>
      <c r="ID8" s="682"/>
      <c r="IE8" s="682"/>
      <c r="IF8" s="682"/>
      <c r="IG8" s="682"/>
      <c r="IH8" s="682"/>
      <c r="II8" s="682"/>
      <c r="IJ8" s="682"/>
      <c r="IK8" s="682"/>
      <c r="IL8" s="682"/>
      <c r="IM8" s="682"/>
      <c r="IN8" s="682"/>
      <c r="IO8" s="682"/>
      <c r="IP8" s="682"/>
      <c r="IQ8" s="682"/>
      <c r="IR8" s="682"/>
      <c r="IS8" s="682"/>
    </row>
    <row r="9" spans="1:253" s="672" customFormat="1" ht="13.5" customHeight="1">
      <c r="A9" s="1007"/>
      <c r="B9" s="1007"/>
      <c r="C9" s="1007"/>
      <c r="D9" s="1007"/>
      <c r="E9" s="1007"/>
      <c r="F9" s="1007" t="s">
        <v>415</v>
      </c>
      <c r="G9" s="1014" t="s">
        <v>416</v>
      </c>
      <c r="H9" s="1014"/>
      <c r="I9" s="1007"/>
      <c r="J9" s="682"/>
      <c r="K9" s="682"/>
      <c r="L9" s="682"/>
      <c r="M9" s="682"/>
      <c r="N9" s="682"/>
      <c r="O9" s="682"/>
      <c r="P9" s="682"/>
      <c r="Q9" s="682"/>
      <c r="R9" s="682"/>
      <c r="S9" s="682"/>
      <c r="T9" s="682"/>
      <c r="U9" s="682"/>
      <c r="V9" s="682"/>
      <c r="W9" s="682"/>
      <c r="X9" s="682"/>
      <c r="Y9" s="682"/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2"/>
      <c r="AK9" s="682"/>
      <c r="AL9" s="682"/>
      <c r="AM9" s="682"/>
      <c r="AN9" s="682"/>
      <c r="AO9" s="682"/>
      <c r="AP9" s="682"/>
      <c r="AQ9" s="682"/>
      <c r="AR9" s="682"/>
      <c r="AS9" s="682"/>
      <c r="AT9" s="682"/>
      <c r="AU9" s="682"/>
      <c r="AV9" s="682"/>
      <c r="AW9" s="682"/>
      <c r="AX9" s="682"/>
      <c r="AY9" s="682"/>
      <c r="AZ9" s="682"/>
      <c r="BA9" s="682"/>
      <c r="BB9" s="682"/>
      <c r="BC9" s="682"/>
      <c r="BD9" s="682"/>
      <c r="BE9" s="682"/>
      <c r="BF9" s="682"/>
      <c r="BG9" s="682"/>
      <c r="BH9" s="682"/>
      <c r="BI9" s="682"/>
      <c r="BJ9" s="682"/>
      <c r="BK9" s="682"/>
      <c r="BL9" s="682"/>
      <c r="BM9" s="682"/>
      <c r="BN9" s="682"/>
      <c r="BO9" s="682"/>
      <c r="BP9" s="682"/>
      <c r="BQ9" s="682"/>
      <c r="BR9" s="682"/>
      <c r="BS9" s="682"/>
      <c r="BT9" s="682"/>
      <c r="BU9" s="682"/>
      <c r="BV9" s="682"/>
      <c r="BW9" s="682"/>
      <c r="BX9" s="682"/>
      <c r="BY9" s="682"/>
      <c r="BZ9" s="682"/>
      <c r="CA9" s="682"/>
      <c r="CB9" s="682"/>
      <c r="CC9" s="682"/>
      <c r="CD9" s="682"/>
      <c r="CE9" s="682"/>
      <c r="CF9" s="682"/>
      <c r="CG9" s="682"/>
      <c r="CH9" s="682"/>
      <c r="CI9" s="682"/>
      <c r="CJ9" s="682"/>
      <c r="CK9" s="682"/>
      <c r="CL9" s="682"/>
      <c r="CM9" s="682"/>
      <c r="CN9" s="682"/>
      <c r="CO9" s="682"/>
      <c r="CP9" s="682"/>
      <c r="CQ9" s="682"/>
      <c r="CR9" s="682"/>
      <c r="CS9" s="682"/>
      <c r="CT9" s="682"/>
      <c r="CU9" s="682"/>
      <c r="CV9" s="682"/>
      <c r="CW9" s="682"/>
      <c r="CX9" s="682"/>
      <c r="CY9" s="682"/>
      <c r="CZ9" s="682"/>
      <c r="DA9" s="682"/>
      <c r="DB9" s="682"/>
      <c r="DC9" s="682"/>
      <c r="DD9" s="682"/>
      <c r="DE9" s="682"/>
      <c r="DF9" s="682"/>
      <c r="DG9" s="682"/>
      <c r="DH9" s="682"/>
      <c r="DI9" s="682"/>
      <c r="DJ9" s="682"/>
      <c r="DK9" s="682"/>
      <c r="DL9" s="682"/>
      <c r="DM9" s="682"/>
      <c r="DN9" s="682"/>
      <c r="DO9" s="682"/>
      <c r="DP9" s="682"/>
      <c r="DQ9" s="682"/>
      <c r="DR9" s="682"/>
      <c r="DS9" s="682"/>
      <c r="DT9" s="682"/>
      <c r="DU9" s="682"/>
      <c r="DV9" s="682"/>
      <c r="DW9" s="682"/>
      <c r="DX9" s="682"/>
      <c r="DY9" s="682"/>
      <c r="DZ9" s="682"/>
      <c r="EA9" s="682"/>
      <c r="EB9" s="682"/>
      <c r="EC9" s="682"/>
      <c r="ED9" s="682"/>
      <c r="EE9" s="682"/>
      <c r="EF9" s="682"/>
      <c r="EG9" s="682"/>
      <c r="EH9" s="682"/>
      <c r="EI9" s="682"/>
      <c r="EJ9" s="682"/>
      <c r="EK9" s="682"/>
      <c r="EL9" s="682"/>
      <c r="EM9" s="682"/>
      <c r="EN9" s="682"/>
      <c r="EO9" s="682"/>
      <c r="EP9" s="682"/>
      <c r="EQ9" s="682"/>
      <c r="ER9" s="682"/>
      <c r="ES9" s="682"/>
      <c r="ET9" s="682"/>
      <c r="EU9" s="682"/>
      <c r="EV9" s="682"/>
      <c r="EW9" s="682"/>
      <c r="EX9" s="682"/>
      <c r="EY9" s="682"/>
      <c r="EZ9" s="682"/>
      <c r="FA9" s="682"/>
      <c r="FB9" s="682"/>
      <c r="FC9" s="682"/>
      <c r="FD9" s="682"/>
      <c r="FE9" s="682"/>
      <c r="FF9" s="682"/>
      <c r="FG9" s="682"/>
      <c r="FH9" s="682"/>
      <c r="FI9" s="682"/>
      <c r="FJ9" s="682"/>
      <c r="FK9" s="682"/>
      <c r="FL9" s="682"/>
      <c r="FM9" s="682"/>
      <c r="FN9" s="682"/>
      <c r="FO9" s="682"/>
      <c r="FP9" s="682"/>
      <c r="FQ9" s="682"/>
      <c r="FR9" s="682"/>
      <c r="FS9" s="682"/>
      <c r="FT9" s="682"/>
      <c r="FU9" s="682"/>
      <c r="FV9" s="682"/>
      <c r="FW9" s="682"/>
      <c r="FX9" s="682"/>
      <c r="FY9" s="682"/>
      <c r="FZ9" s="682"/>
      <c r="GA9" s="682"/>
      <c r="GB9" s="682"/>
      <c r="GC9" s="682"/>
      <c r="GD9" s="682"/>
      <c r="GE9" s="682"/>
      <c r="GF9" s="682"/>
      <c r="GG9" s="682"/>
      <c r="GH9" s="682"/>
      <c r="GI9" s="682"/>
      <c r="GJ9" s="682"/>
      <c r="GK9" s="682"/>
      <c r="GL9" s="682"/>
      <c r="GM9" s="682"/>
      <c r="GN9" s="682"/>
      <c r="GO9" s="682"/>
      <c r="GP9" s="682"/>
      <c r="GQ9" s="682"/>
      <c r="GR9" s="682"/>
      <c r="GS9" s="682"/>
      <c r="GT9" s="682"/>
      <c r="GU9" s="682"/>
      <c r="GV9" s="682"/>
      <c r="GW9" s="682"/>
      <c r="GX9" s="682"/>
      <c r="GY9" s="682"/>
      <c r="GZ9" s="682"/>
      <c r="HA9" s="682"/>
      <c r="HB9" s="682"/>
      <c r="HC9" s="682"/>
      <c r="HD9" s="682"/>
      <c r="HE9" s="682"/>
      <c r="HF9" s="682"/>
      <c r="HG9" s="682"/>
      <c r="HH9" s="682"/>
      <c r="HI9" s="682"/>
      <c r="HJ9" s="682"/>
      <c r="HK9" s="682"/>
      <c r="HL9" s="682"/>
      <c r="HM9" s="682"/>
      <c r="HN9" s="682"/>
      <c r="HO9" s="682"/>
      <c r="HP9" s="682"/>
      <c r="HQ9" s="682"/>
      <c r="HR9" s="682"/>
      <c r="HS9" s="682"/>
      <c r="HT9" s="682"/>
      <c r="HU9" s="682"/>
      <c r="HV9" s="682"/>
      <c r="HW9" s="682"/>
      <c r="HX9" s="682"/>
      <c r="HY9" s="682"/>
      <c r="HZ9" s="682"/>
      <c r="IA9" s="682"/>
      <c r="IB9" s="682"/>
      <c r="IC9" s="682"/>
      <c r="ID9" s="682"/>
      <c r="IE9" s="682"/>
      <c r="IF9" s="682"/>
      <c r="IG9" s="682"/>
      <c r="IH9" s="682"/>
      <c r="II9" s="682"/>
      <c r="IJ9" s="682"/>
      <c r="IK9" s="682"/>
      <c r="IL9" s="682"/>
      <c r="IM9" s="682"/>
      <c r="IN9" s="682"/>
      <c r="IO9" s="682"/>
      <c r="IP9" s="682"/>
      <c r="IQ9" s="682"/>
      <c r="IR9" s="682"/>
      <c r="IS9" s="682"/>
    </row>
    <row r="10" spans="1:253" s="672" customFormat="1" ht="13.5" customHeight="1">
      <c r="A10" s="1007"/>
      <c r="B10" s="1007"/>
      <c r="C10" s="1007"/>
      <c r="D10" s="1007"/>
      <c r="E10" s="1007"/>
      <c r="F10" s="1007"/>
      <c r="G10" s="1007" t="s">
        <v>417</v>
      </c>
      <c r="H10" s="1007" t="s">
        <v>418</v>
      </c>
      <c r="I10" s="1007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2"/>
      <c r="AA10" s="682"/>
      <c r="AB10" s="682"/>
      <c r="AC10" s="682"/>
      <c r="AD10" s="682"/>
      <c r="AE10" s="682"/>
      <c r="AF10" s="682"/>
      <c r="AG10" s="682"/>
      <c r="AH10" s="682"/>
      <c r="AI10" s="682"/>
      <c r="AJ10" s="682"/>
      <c r="AK10" s="682"/>
      <c r="AL10" s="682"/>
      <c r="AM10" s="682"/>
      <c r="AN10" s="682"/>
      <c r="AO10" s="682"/>
      <c r="AP10" s="682"/>
      <c r="AQ10" s="682"/>
      <c r="AR10" s="682"/>
      <c r="AS10" s="682"/>
      <c r="AT10" s="682"/>
      <c r="AU10" s="682"/>
      <c r="AV10" s="682"/>
      <c r="AW10" s="682"/>
      <c r="AX10" s="682"/>
      <c r="AY10" s="682"/>
      <c r="AZ10" s="682"/>
      <c r="BA10" s="682"/>
      <c r="BB10" s="682"/>
      <c r="BC10" s="682"/>
      <c r="BD10" s="682"/>
      <c r="BE10" s="682"/>
      <c r="BF10" s="682"/>
      <c r="BG10" s="682"/>
      <c r="BH10" s="682"/>
      <c r="BI10" s="682"/>
      <c r="BJ10" s="682"/>
      <c r="BK10" s="682"/>
      <c r="BL10" s="682"/>
      <c r="BM10" s="682"/>
      <c r="BN10" s="682"/>
      <c r="BO10" s="682"/>
      <c r="BP10" s="682"/>
      <c r="BQ10" s="682"/>
      <c r="BR10" s="682"/>
      <c r="BS10" s="682"/>
      <c r="BT10" s="682"/>
      <c r="BU10" s="682"/>
      <c r="BV10" s="682"/>
      <c r="BW10" s="682"/>
      <c r="BX10" s="682"/>
      <c r="BY10" s="682"/>
      <c r="BZ10" s="682"/>
      <c r="CA10" s="682"/>
      <c r="CB10" s="682"/>
      <c r="CC10" s="682"/>
      <c r="CD10" s="682"/>
      <c r="CE10" s="682"/>
      <c r="CF10" s="682"/>
      <c r="CG10" s="682"/>
      <c r="CH10" s="682"/>
      <c r="CI10" s="682"/>
      <c r="CJ10" s="682"/>
      <c r="CK10" s="682"/>
      <c r="CL10" s="682"/>
      <c r="CM10" s="682"/>
      <c r="CN10" s="682"/>
      <c r="CO10" s="682"/>
      <c r="CP10" s="682"/>
      <c r="CQ10" s="682"/>
      <c r="CR10" s="682"/>
      <c r="CS10" s="682"/>
      <c r="CT10" s="682"/>
      <c r="CU10" s="682"/>
      <c r="CV10" s="682"/>
      <c r="CW10" s="682"/>
      <c r="CX10" s="682"/>
      <c r="CY10" s="682"/>
      <c r="CZ10" s="682"/>
      <c r="DA10" s="682"/>
      <c r="DB10" s="682"/>
      <c r="DC10" s="682"/>
      <c r="DD10" s="682"/>
      <c r="DE10" s="682"/>
      <c r="DF10" s="682"/>
      <c r="DG10" s="682"/>
      <c r="DH10" s="682"/>
      <c r="DI10" s="682"/>
      <c r="DJ10" s="682"/>
      <c r="DK10" s="682"/>
      <c r="DL10" s="682"/>
      <c r="DM10" s="682"/>
      <c r="DN10" s="682"/>
      <c r="DO10" s="682"/>
      <c r="DP10" s="682"/>
      <c r="DQ10" s="682"/>
      <c r="DR10" s="682"/>
      <c r="DS10" s="682"/>
      <c r="DT10" s="682"/>
      <c r="DU10" s="682"/>
      <c r="DV10" s="682"/>
      <c r="DW10" s="682"/>
      <c r="DX10" s="682"/>
      <c r="DY10" s="682"/>
      <c r="DZ10" s="682"/>
      <c r="EA10" s="682"/>
      <c r="EB10" s="682"/>
      <c r="EC10" s="682"/>
      <c r="ED10" s="682"/>
      <c r="EE10" s="682"/>
      <c r="EF10" s="682"/>
      <c r="EG10" s="682"/>
      <c r="EH10" s="682"/>
      <c r="EI10" s="682"/>
      <c r="EJ10" s="682"/>
      <c r="EK10" s="682"/>
      <c r="EL10" s="682"/>
      <c r="EM10" s="682"/>
      <c r="EN10" s="682"/>
      <c r="EO10" s="682"/>
      <c r="EP10" s="682"/>
      <c r="EQ10" s="682"/>
      <c r="ER10" s="682"/>
      <c r="ES10" s="682"/>
      <c r="ET10" s="682"/>
      <c r="EU10" s="682"/>
      <c r="EV10" s="682"/>
      <c r="EW10" s="682"/>
      <c r="EX10" s="682"/>
      <c r="EY10" s="682"/>
      <c r="EZ10" s="682"/>
      <c r="FA10" s="682"/>
      <c r="FB10" s="682"/>
      <c r="FC10" s="682"/>
      <c r="FD10" s="682"/>
      <c r="FE10" s="682"/>
      <c r="FF10" s="682"/>
      <c r="FG10" s="682"/>
      <c r="FH10" s="682"/>
      <c r="FI10" s="682"/>
      <c r="FJ10" s="682"/>
      <c r="FK10" s="682"/>
      <c r="FL10" s="682"/>
      <c r="FM10" s="682"/>
      <c r="FN10" s="682"/>
      <c r="FO10" s="682"/>
      <c r="FP10" s="682"/>
      <c r="FQ10" s="682"/>
      <c r="FR10" s="682"/>
      <c r="FS10" s="682"/>
      <c r="FT10" s="682"/>
      <c r="FU10" s="682"/>
      <c r="FV10" s="682"/>
      <c r="FW10" s="682"/>
      <c r="FX10" s="682"/>
      <c r="FY10" s="682"/>
      <c r="FZ10" s="682"/>
      <c r="GA10" s="682"/>
      <c r="GB10" s="682"/>
      <c r="GC10" s="682"/>
      <c r="GD10" s="682"/>
      <c r="GE10" s="682"/>
      <c r="GF10" s="682"/>
      <c r="GG10" s="682"/>
      <c r="GH10" s="682"/>
      <c r="GI10" s="682"/>
      <c r="GJ10" s="682"/>
      <c r="GK10" s="682"/>
      <c r="GL10" s="682"/>
      <c r="GM10" s="682"/>
      <c r="GN10" s="682"/>
      <c r="GO10" s="682"/>
      <c r="GP10" s="682"/>
      <c r="GQ10" s="682"/>
      <c r="GR10" s="682"/>
      <c r="GS10" s="682"/>
      <c r="GT10" s="682"/>
      <c r="GU10" s="682"/>
      <c r="GV10" s="682"/>
      <c r="GW10" s="682"/>
      <c r="GX10" s="682"/>
      <c r="GY10" s="682"/>
      <c r="GZ10" s="682"/>
      <c r="HA10" s="682"/>
      <c r="HB10" s="682"/>
      <c r="HC10" s="682"/>
      <c r="HD10" s="682"/>
      <c r="HE10" s="682"/>
      <c r="HF10" s="682"/>
      <c r="HG10" s="682"/>
      <c r="HH10" s="682"/>
      <c r="HI10" s="682"/>
      <c r="HJ10" s="682"/>
      <c r="HK10" s="682"/>
      <c r="HL10" s="682"/>
      <c r="HM10" s="682"/>
      <c r="HN10" s="682"/>
      <c r="HO10" s="682"/>
      <c r="HP10" s="682"/>
      <c r="HQ10" s="682"/>
      <c r="HR10" s="682"/>
      <c r="HS10" s="682"/>
      <c r="HT10" s="682"/>
      <c r="HU10" s="682"/>
      <c r="HV10" s="682"/>
      <c r="HW10" s="682"/>
      <c r="HX10" s="682"/>
      <c r="HY10" s="682"/>
      <c r="HZ10" s="682"/>
      <c r="IA10" s="682"/>
      <c r="IB10" s="682"/>
      <c r="IC10" s="682"/>
      <c r="ID10" s="682"/>
      <c r="IE10" s="682"/>
      <c r="IF10" s="682"/>
      <c r="IG10" s="682"/>
      <c r="IH10" s="682"/>
      <c r="II10" s="682"/>
      <c r="IJ10" s="682"/>
      <c r="IK10" s="682"/>
      <c r="IL10" s="682"/>
      <c r="IM10" s="682"/>
      <c r="IN10" s="682"/>
      <c r="IO10" s="682"/>
      <c r="IP10" s="682"/>
      <c r="IQ10" s="682"/>
      <c r="IR10" s="682"/>
      <c r="IS10" s="682"/>
    </row>
    <row r="11" spans="1:253" s="672" customFormat="1" ht="13.5" customHeight="1">
      <c r="A11" s="1007"/>
      <c r="B11" s="1007"/>
      <c r="C11" s="1007"/>
      <c r="D11" s="1007"/>
      <c r="E11" s="1007"/>
      <c r="F11" s="1007"/>
      <c r="G11" s="1007"/>
      <c r="H11" s="1007"/>
      <c r="I11" s="1007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3"/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  <c r="BC11" s="683"/>
      <c r="BD11" s="683"/>
      <c r="BE11" s="683"/>
      <c r="BF11" s="683"/>
      <c r="BG11" s="683"/>
      <c r="BH11" s="683"/>
      <c r="BI11" s="683"/>
      <c r="BJ11" s="683"/>
      <c r="BK11" s="683"/>
      <c r="BL11" s="683"/>
      <c r="BM11" s="683"/>
      <c r="BN11" s="683"/>
      <c r="BO11" s="683"/>
      <c r="BP11" s="683"/>
      <c r="BQ11" s="683"/>
      <c r="BR11" s="683"/>
      <c r="BS11" s="683"/>
      <c r="BT11" s="683"/>
      <c r="BU11" s="683"/>
      <c r="BV11" s="683"/>
      <c r="BW11" s="683"/>
      <c r="BX11" s="683"/>
      <c r="BY11" s="683"/>
      <c r="BZ11" s="683"/>
      <c r="CA11" s="683"/>
      <c r="CB11" s="683"/>
      <c r="CC11" s="683"/>
      <c r="CD11" s="683"/>
      <c r="CE11" s="683"/>
      <c r="CF11" s="683"/>
      <c r="CG11" s="683"/>
      <c r="CH11" s="683"/>
      <c r="CI11" s="683"/>
      <c r="CJ11" s="683"/>
      <c r="CK11" s="683"/>
      <c r="CL11" s="683"/>
      <c r="CM11" s="683"/>
      <c r="CN11" s="683"/>
      <c r="CO11" s="683"/>
      <c r="CP11" s="683"/>
      <c r="CQ11" s="683"/>
      <c r="CR11" s="683"/>
      <c r="CS11" s="683"/>
      <c r="CT11" s="683"/>
      <c r="CU11" s="683"/>
      <c r="CV11" s="683"/>
      <c r="CW11" s="683"/>
      <c r="CX11" s="683"/>
      <c r="CY11" s="683"/>
      <c r="CZ11" s="683"/>
      <c r="DA11" s="683"/>
      <c r="DB11" s="683"/>
      <c r="DC11" s="683"/>
      <c r="DD11" s="683"/>
      <c r="DE11" s="683"/>
      <c r="DF11" s="683"/>
      <c r="DG11" s="683"/>
      <c r="DH11" s="683"/>
      <c r="DI11" s="683"/>
      <c r="DJ11" s="683"/>
      <c r="DK11" s="683"/>
      <c r="DL11" s="683"/>
      <c r="DM11" s="683"/>
      <c r="DN11" s="683"/>
      <c r="DO11" s="683"/>
      <c r="DP11" s="683"/>
      <c r="DQ11" s="683"/>
      <c r="DR11" s="683"/>
      <c r="DS11" s="683"/>
      <c r="DT11" s="683"/>
      <c r="DU11" s="683"/>
      <c r="DV11" s="683"/>
      <c r="DW11" s="683"/>
      <c r="DX11" s="683"/>
      <c r="DY11" s="683"/>
      <c r="DZ11" s="683"/>
      <c r="EA11" s="683"/>
      <c r="EB11" s="683"/>
      <c r="EC11" s="683"/>
      <c r="ED11" s="683"/>
      <c r="EE11" s="683"/>
      <c r="EF11" s="683"/>
      <c r="EG11" s="683"/>
      <c r="EH11" s="683"/>
      <c r="EI11" s="683"/>
      <c r="EJ11" s="683"/>
      <c r="EK11" s="683"/>
      <c r="EL11" s="683"/>
      <c r="EM11" s="683"/>
      <c r="EN11" s="683"/>
      <c r="EO11" s="683"/>
      <c r="EP11" s="683"/>
      <c r="EQ11" s="683"/>
      <c r="ER11" s="683"/>
      <c r="ES11" s="683"/>
      <c r="ET11" s="683"/>
      <c r="EU11" s="683"/>
      <c r="EV11" s="683"/>
      <c r="EW11" s="683"/>
      <c r="EX11" s="683"/>
      <c r="EY11" s="683"/>
      <c r="EZ11" s="683"/>
      <c r="FA11" s="683"/>
      <c r="FB11" s="683"/>
      <c r="FC11" s="683"/>
      <c r="FD11" s="683"/>
      <c r="FE11" s="683"/>
      <c r="FF11" s="683"/>
      <c r="FG11" s="683"/>
      <c r="FH11" s="683"/>
      <c r="FI11" s="683"/>
      <c r="FJ11" s="683"/>
      <c r="FK11" s="683"/>
      <c r="FL11" s="683"/>
      <c r="FM11" s="683"/>
      <c r="FN11" s="683"/>
      <c r="FO11" s="683"/>
      <c r="FP11" s="683"/>
      <c r="FQ11" s="683"/>
      <c r="FR11" s="683"/>
      <c r="FS11" s="683"/>
      <c r="FT11" s="683"/>
      <c r="FU11" s="683"/>
      <c r="FV11" s="683"/>
      <c r="FW11" s="683"/>
      <c r="FX11" s="683"/>
      <c r="FY11" s="683"/>
      <c r="FZ11" s="683"/>
      <c r="GA11" s="683"/>
      <c r="GB11" s="683"/>
      <c r="GC11" s="683"/>
      <c r="GD11" s="683"/>
      <c r="GE11" s="683"/>
      <c r="GF11" s="683"/>
      <c r="GG11" s="683"/>
      <c r="GH11" s="683"/>
      <c r="GI11" s="683"/>
      <c r="GJ11" s="683"/>
      <c r="GK11" s="683"/>
      <c r="GL11" s="683"/>
      <c r="GM11" s="683"/>
      <c r="GN11" s="683"/>
      <c r="GO11" s="683"/>
      <c r="GP11" s="683"/>
      <c r="GQ11" s="683"/>
      <c r="GR11" s="683"/>
      <c r="GS11" s="683"/>
      <c r="GT11" s="683"/>
      <c r="GU11" s="683"/>
      <c r="GV11" s="683"/>
      <c r="GW11" s="683"/>
      <c r="GX11" s="683"/>
      <c r="GY11" s="683"/>
      <c r="GZ11" s="683"/>
      <c r="HA11" s="683"/>
      <c r="HB11" s="683"/>
      <c r="HC11" s="683"/>
      <c r="HD11" s="683"/>
      <c r="HE11" s="683"/>
      <c r="HF11" s="683"/>
      <c r="HG11" s="683"/>
      <c r="HH11" s="683"/>
      <c r="HI11" s="683"/>
      <c r="HJ11" s="683"/>
      <c r="HK11" s="683"/>
      <c r="HL11" s="683"/>
      <c r="HM11" s="683"/>
      <c r="HN11" s="683"/>
      <c r="HO11" s="683"/>
      <c r="HP11" s="683"/>
      <c r="HQ11" s="683"/>
      <c r="HR11" s="683"/>
      <c r="HS11" s="683"/>
      <c r="HT11" s="683"/>
      <c r="HU11" s="683"/>
      <c r="HV11" s="683"/>
      <c r="HW11" s="683"/>
      <c r="HX11" s="683"/>
      <c r="HY11" s="683"/>
      <c r="HZ11" s="683"/>
      <c r="IA11" s="683"/>
      <c r="IB11" s="683"/>
      <c r="IC11" s="683"/>
      <c r="ID11" s="683"/>
      <c r="IE11" s="683"/>
      <c r="IF11" s="683"/>
      <c r="IG11" s="683"/>
      <c r="IH11" s="683"/>
      <c r="II11" s="683"/>
      <c r="IJ11" s="683"/>
      <c r="IK11" s="683"/>
      <c r="IL11" s="683"/>
      <c r="IM11" s="683"/>
      <c r="IN11" s="683"/>
      <c r="IO11" s="683"/>
      <c r="IP11" s="683"/>
      <c r="IQ11" s="683"/>
      <c r="IR11" s="683"/>
      <c r="IS11" s="683"/>
    </row>
    <row r="12" spans="1:253">
      <c r="A12" s="312">
        <v>1</v>
      </c>
      <c r="B12" s="312">
        <v>2</v>
      </c>
      <c r="C12" s="312">
        <v>3</v>
      </c>
      <c r="D12" s="312">
        <v>4</v>
      </c>
      <c r="E12" s="312">
        <v>5</v>
      </c>
      <c r="F12" s="312">
        <v>6</v>
      </c>
      <c r="G12" s="312" t="s">
        <v>419</v>
      </c>
      <c r="H12" s="312" t="s">
        <v>420</v>
      </c>
      <c r="I12" s="312">
        <v>7</v>
      </c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313"/>
      <c r="DM12" s="313"/>
      <c r="DN12" s="313"/>
      <c r="DO12" s="313"/>
      <c r="DP12" s="313"/>
      <c r="DQ12" s="313"/>
      <c r="DR12" s="313"/>
      <c r="DS12" s="313"/>
      <c r="DT12" s="313"/>
      <c r="DU12" s="313"/>
      <c r="DV12" s="313"/>
      <c r="DW12" s="313"/>
      <c r="DX12" s="313"/>
      <c r="DY12" s="313"/>
      <c r="DZ12" s="313"/>
      <c r="EA12" s="313"/>
      <c r="EB12" s="313"/>
      <c r="EC12" s="313"/>
      <c r="ED12" s="313"/>
      <c r="EE12" s="313"/>
      <c r="EF12" s="313"/>
      <c r="EG12" s="313"/>
      <c r="EH12" s="313"/>
      <c r="EI12" s="313"/>
      <c r="EJ12" s="313"/>
      <c r="EK12" s="313"/>
      <c r="EL12" s="313"/>
      <c r="EM12" s="313"/>
      <c r="EN12" s="313"/>
      <c r="EO12" s="313"/>
      <c r="EP12" s="313"/>
      <c r="EQ12" s="313"/>
      <c r="ER12" s="313"/>
      <c r="ES12" s="313"/>
      <c r="ET12" s="313"/>
      <c r="EU12" s="313"/>
      <c r="EV12" s="313"/>
      <c r="EW12" s="313"/>
      <c r="EX12" s="313"/>
      <c r="EY12" s="313"/>
      <c r="EZ12" s="313"/>
      <c r="FA12" s="313"/>
      <c r="FB12" s="313"/>
      <c r="FC12" s="313"/>
      <c r="FD12" s="313"/>
      <c r="FE12" s="313"/>
      <c r="FF12" s="313"/>
      <c r="FG12" s="313"/>
      <c r="FH12" s="313"/>
      <c r="FI12" s="313"/>
      <c r="FJ12" s="313"/>
      <c r="FK12" s="313"/>
      <c r="FL12" s="313"/>
      <c r="FM12" s="313"/>
      <c r="FN12" s="313"/>
      <c r="FO12" s="313"/>
      <c r="FP12" s="313"/>
      <c r="FQ12" s="313"/>
      <c r="FR12" s="313"/>
      <c r="FS12" s="313"/>
      <c r="FT12" s="313"/>
      <c r="FU12" s="313"/>
      <c r="FV12" s="313"/>
      <c r="FW12" s="313"/>
      <c r="FX12" s="313"/>
      <c r="FY12" s="313"/>
      <c r="FZ12" s="313"/>
      <c r="GA12" s="313"/>
      <c r="GB12" s="313"/>
      <c r="GC12" s="313"/>
      <c r="GD12" s="313"/>
      <c r="GE12" s="313"/>
      <c r="GF12" s="313"/>
      <c r="GG12" s="313"/>
      <c r="GH12" s="313"/>
      <c r="GI12" s="313"/>
      <c r="GJ12" s="313"/>
      <c r="GK12" s="313"/>
      <c r="GL12" s="313"/>
      <c r="GM12" s="313"/>
      <c r="GN12" s="313"/>
      <c r="GO12" s="313"/>
      <c r="GP12" s="313"/>
      <c r="GQ12" s="313"/>
      <c r="GR12" s="313"/>
      <c r="GS12" s="313"/>
      <c r="GT12" s="313"/>
      <c r="GU12" s="313"/>
      <c r="GV12" s="313"/>
      <c r="GW12" s="313"/>
      <c r="GX12" s="313"/>
      <c r="GY12" s="313"/>
      <c r="GZ12" s="313"/>
      <c r="HA12" s="313"/>
      <c r="HB12" s="313"/>
      <c r="HC12" s="313"/>
      <c r="HD12" s="313"/>
      <c r="HE12" s="313"/>
      <c r="HF12" s="313"/>
      <c r="HG12" s="313"/>
      <c r="HH12" s="313"/>
      <c r="HI12" s="313"/>
      <c r="HJ12" s="313"/>
      <c r="HK12" s="313"/>
      <c r="HL12" s="313"/>
      <c r="HM12" s="313"/>
      <c r="HN12" s="313"/>
      <c r="HO12" s="313"/>
      <c r="HP12" s="313"/>
      <c r="HQ12" s="313"/>
      <c r="HR12" s="313"/>
      <c r="HS12" s="313"/>
      <c r="HT12" s="313"/>
      <c r="HU12" s="313"/>
      <c r="HV12" s="313"/>
      <c r="HW12" s="313"/>
      <c r="HX12" s="313"/>
      <c r="HY12" s="313"/>
      <c r="HZ12" s="313"/>
      <c r="IA12" s="313"/>
      <c r="IB12" s="313"/>
      <c r="IC12" s="313"/>
      <c r="ID12" s="313"/>
      <c r="IE12" s="313"/>
      <c r="IF12" s="313"/>
      <c r="IG12" s="313"/>
      <c r="IH12" s="313"/>
      <c r="II12" s="313"/>
      <c r="IJ12" s="313"/>
      <c r="IK12" s="313"/>
      <c r="IL12" s="313"/>
      <c r="IM12" s="313"/>
      <c r="IN12" s="313"/>
      <c r="IO12" s="313"/>
      <c r="IP12" s="313"/>
      <c r="IQ12" s="313"/>
      <c r="IR12" s="313"/>
      <c r="IS12" s="313"/>
    </row>
    <row r="13" spans="1:253" ht="9.9499999999999993" customHeight="1">
      <c r="A13" s="314"/>
      <c r="B13" s="314"/>
      <c r="C13" s="314"/>
      <c r="D13" s="314"/>
      <c r="E13" s="314"/>
      <c r="F13" s="314"/>
      <c r="G13" s="314"/>
      <c r="H13" s="315"/>
      <c r="I13" s="314"/>
    </row>
    <row r="14" spans="1:253" ht="17.25">
      <c r="A14" s="316"/>
      <c r="B14" s="317" t="s">
        <v>316</v>
      </c>
      <c r="C14" s="316" t="s">
        <v>421</v>
      </c>
      <c r="D14" s="316" t="s">
        <v>421</v>
      </c>
      <c r="E14" s="316" t="s">
        <v>421</v>
      </c>
      <c r="F14" s="318">
        <f>F77+F138+F142+F146</f>
        <v>628517911</v>
      </c>
      <c r="G14" s="318">
        <f>G77+G138+G142+G146</f>
        <v>422413289</v>
      </c>
      <c r="H14" s="318">
        <f>H77+H138+H142+H146</f>
        <v>206104622</v>
      </c>
      <c r="I14" s="316" t="s">
        <v>421</v>
      </c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  <c r="DJ14" s="319"/>
      <c r="DK14" s="319"/>
      <c r="DL14" s="319"/>
      <c r="DM14" s="319"/>
      <c r="DN14" s="319"/>
      <c r="DO14" s="319"/>
      <c r="DP14" s="319"/>
      <c r="DQ14" s="319"/>
      <c r="DR14" s="319"/>
      <c r="DS14" s="319"/>
      <c r="DT14" s="319"/>
      <c r="DU14" s="319"/>
      <c r="DV14" s="319"/>
      <c r="DW14" s="319"/>
      <c r="DX14" s="319"/>
      <c r="DY14" s="319"/>
      <c r="DZ14" s="319"/>
      <c r="EA14" s="319"/>
      <c r="EB14" s="319"/>
      <c r="EC14" s="319"/>
      <c r="ED14" s="319"/>
      <c r="EE14" s="319"/>
      <c r="EF14" s="319"/>
      <c r="EG14" s="319"/>
      <c r="EH14" s="319"/>
      <c r="EI14" s="319"/>
      <c r="EJ14" s="319"/>
      <c r="EK14" s="319"/>
      <c r="EL14" s="319"/>
      <c r="EM14" s="319"/>
      <c r="EN14" s="319"/>
      <c r="EO14" s="319"/>
      <c r="EP14" s="319"/>
      <c r="EQ14" s="319"/>
      <c r="ER14" s="319"/>
      <c r="ES14" s="319"/>
      <c r="ET14" s="319"/>
      <c r="EU14" s="319"/>
      <c r="EV14" s="319"/>
      <c r="EW14" s="319"/>
      <c r="EX14" s="319"/>
      <c r="EY14" s="319"/>
      <c r="EZ14" s="319"/>
      <c r="FA14" s="319"/>
      <c r="FB14" s="319"/>
      <c r="FC14" s="319"/>
      <c r="FD14" s="319"/>
      <c r="FE14" s="319"/>
      <c r="FF14" s="319"/>
      <c r="FG14" s="319"/>
      <c r="FH14" s="319"/>
      <c r="FI14" s="319"/>
      <c r="FJ14" s="319"/>
      <c r="FK14" s="319"/>
      <c r="FL14" s="319"/>
      <c r="FM14" s="319"/>
      <c r="FN14" s="319"/>
      <c r="FO14" s="319"/>
      <c r="FP14" s="319"/>
      <c r="FQ14" s="319"/>
      <c r="FR14" s="319"/>
      <c r="FS14" s="319"/>
      <c r="FT14" s="319"/>
      <c r="FU14" s="319"/>
      <c r="FV14" s="319"/>
      <c r="FW14" s="319"/>
      <c r="FX14" s="319"/>
      <c r="FY14" s="319"/>
      <c r="FZ14" s="319"/>
      <c r="GA14" s="319"/>
      <c r="GB14" s="319"/>
      <c r="GC14" s="319"/>
      <c r="GD14" s="319"/>
      <c r="GE14" s="319"/>
      <c r="GF14" s="319"/>
      <c r="GG14" s="319"/>
      <c r="GH14" s="319"/>
      <c r="GI14" s="319"/>
      <c r="GJ14" s="319"/>
      <c r="GK14" s="319"/>
      <c r="GL14" s="319"/>
      <c r="GM14" s="319"/>
      <c r="GN14" s="319"/>
      <c r="GO14" s="319"/>
      <c r="GP14" s="319"/>
      <c r="GQ14" s="319"/>
      <c r="GR14" s="319"/>
      <c r="GS14" s="319"/>
      <c r="GT14" s="319"/>
      <c r="GU14" s="319"/>
      <c r="GV14" s="319"/>
      <c r="GW14" s="319"/>
      <c r="GX14" s="319"/>
      <c r="GY14" s="319"/>
      <c r="GZ14" s="319"/>
      <c r="HA14" s="319"/>
      <c r="HB14" s="319"/>
      <c r="HC14" s="319"/>
      <c r="HD14" s="319"/>
      <c r="HE14" s="319"/>
      <c r="HF14" s="319"/>
      <c r="HG14" s="319"/>
      <c r="HH14" s="319"/>
      <c r="HI14" s="319"/>
      <c r="HJ14" s="319"/>
      <c r="HK14" s="319"/>
      <c r="HL14" s="319"/>
      <c r="HM14" s="319"/>
      <c r="HN14" s="319"/>
      <c r="HO14" s="319"/>
      <c r="HP14" s="319"/>
      <c r="HQ14" s="319"/>
      <c r="HR14" s="319"/>
      <c r="HS14" s="319"/>
      <c r="HT14" s="319"/>
      <c r="HU14" s="319"/>
      <c r="HV14" s="319"/>
      <c r="HW14" s="319"/>
      <c r="HX14" s="319"/>
      <c r="HY14" s="319"/>
      <c r="HZ14" s="319"/>
      <c r="IA14" s="319"/>
      <c r="IB14" s="319"/>
      <c r="IC14" s="319"/>
      <c r="ID14" s="319"/>
      <c r="IE14" s="319"/>
      <c r="IF14" s="319"/>
      <c r="IG14" s="319"/>
      <c r="IH14" s="319"/>
      <c r="II14" s="319"/>
      <c r="IJ14" s="319"/>
      <c r="IK14" s="319"/>
      <c r="IL14" s="319"/>
      <c r="IM14" s="319"/>
      <c r="IN14" s="319"/>
      <c r="IO14" s="319"/>
      <c r="IP14" s="319"/>
      <c r="IQ14" s="319"/>
      <c r="IR14" s="319"/>
      <c r="IS14" s="319"/>
    </row>
    <row r="15" spans="1:253" ht="9.9499999999999993" customHeight="1">
      <c r="A15" s="314"/>
      <c r="B15" s="320"/>
      <c r="C15" s="321"/>
      <c r="D15" s="314"/>
      <c r="E15" s="314"/>
      <c r="F15" s="314"/>
      <c r="G15" s="314"/>
      <c r="H15" s="315"/>
      <c r="I15" s="314"/>
    </row>
    <row r="16" spans="1:253" ht="15" customHeight="1">
      <c r="A16" s="1010" t="s">
        <v>422</v>
      </c>
      <c r="B16" s="1011"/>
      <c r="C16" s="1011"/>
      <c r="D16" s="1011"/>
      <c r="E16" s="1011"/>
      <c r="F16" s="1011"/>
      <c r="G16" s="1011"/>
      <c r="H16" s="1011"/>
      <c r="I16" s="101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  <c r="DX16" s="322"/>
      <c r="DY16" s="322"/>
      <c r="DZ16" s="322"/>
      <c r="EA16" s="322"/>
      <c r="EB16" s="322"/>
      <c r="EC16" s="322"/>
      <c r="ED16" s="322"/>
      <c r="EE16" s="322"/>
      <c r="EF16" s="322"/>
      <c r="EG16" s="322"/>
      <c r="EH16" s="322"/>
      <c r="EI16" s="322"/>
      <c r="EJ16" s="322"/>
      <c r="EK16" s="322"/>
      <c r="EL16" s="322"/>
      <c r="EM16" s="322"/>
      <c r="EN16" s="322"/>
      <c r="EO16" s="322"/>
      <c r="EP16" s="322"/>
      <c r="EQ16" s="322"/>
      <c r="ER16" s="322"/>
      <c r="ES16" s="322"/>
      <c r="ET16" s="322"/>
      <c r="EU16" s="322"/>
      <c r="EV16" s="322"/>
      <c r="EW16" s="322"/>
      <c r="EX16" s="322"/>
      <c r="EY16" s="322"/>
      <c r="EZ16" s="322"/>
      <c r="FA16" s="322"/>
      <c r="FB16" s="322"/>
      <c r="FC16" s="322"/>
      <c r="FD16" s="322"/>
      <c r="FE16" s="322"/>
      <c r="FF16" s="322"/>
      <c r="FG16" s="322"/>
      <c r="FH16" s="322"/>
      <c r="FI16" s="322"/>
      <c r="FJ16" s="322"/>
      <c r="FK16" s="322"/>
      <c r="FL16" s="322"/>
      <c r="FM16" s="322"/>
      <c r="FN16" s="322"/>
      <c r="FO16" s="322"/>
      <c r="FP16" s="322"/>
      <c r="FQ16" s="322"/>
      <c r="FR16" s="322"/>
      <c r="FS16" s="322"/>
      <c r="FT16" s="322"/>
      <c r="FU16" s="322"/>
      <c r="FV16" s="322"/>
      <c r="FW16" s="322"/>
      <c r="FX16" s="322"/>
      <c r="FY16" s="322"/>
      <c r="FZ16" s="322"/>
      <c r="GA16" s="322"/>
      <c r="GB16" s="322"/>
      <c r="GC16" s="322"/>
      <c r="GD16" s="322"/>
      <c r="GE16" s="322"/>
      <c r="GF16" s="322"/>
      <c r="GG16" s="322"/>
      <c r="GH16" s="322"/>
      <c r="GI16" s="322"/>
      <c r="GJ16" s="322"/>
      <c r="GK16" s="322"/>
      <c r="GL16" s="322"/>
      <c r="GM16" s="322"/>
      <c r="GN16" s="322"/>
      <c r="GO16" s="322"/>
      <c r="GP16" s="322"/>
      <c r="GQ16" s="322"/>
      <c r="GR16" s="322"/>
      <c r="GS16" s="322"/>
      <c r="GT16" s="322"/>
      <c r="GU16" s="322"/>
      <c r="GV16" s="322"/>
      <c r="GW16" s="322"/>
      <c r="GX16" s="322"/>
      <c r="GY16" s="322"/>
      <c r="GZ16" s="322"/>
      <c r="HA16" s="322"/>
      <c r="HB16" s="322"/>
      <c r="HC16" s="322"/>
      <c r="HD16" s="322"/>
      <c r="HE16" s="322"/>
      <c r="HF16" s="322"/>
      <c r="HG16" s="322"/>
      <c r="HH16" s="322"/>
      <c r="HI16" s="322"/>
      <c r="HJ16" s="322"/>
      <c r="HK16" s="322"/>
      <c r="HL16" s="322"/>
      <c r="HM16" s="322"/>
      <c r="HN16" s="322"/>
      <c r="HO16" s="322"/>
      <c r="HP16" s="322"/>
      <c r="HQ16" s="322"/>
      <c r="HR16" s="322"/>
      <c r="HS16" s="322"/>
      <c r="HT16" s="322"/>
      <c r="HU16" s="322"/>
      <c r="HV16" s="322"/>
      <c r="HW16" s="322"/>
      <c r="HX16" s="322"/>
      <c r="HY16" s="322"/>
      <c r="HZ16" s="322"/>
      <c r="IA16" s="322"/>
      <c r="IB16" s="322"/>
      <c r="IC16" s="322"/>
      <c r="ID16" s="322"/>
      <c r="IE16" s="322"/>
      <c r="IF16" s="322"/>
      <c r="IG16" s="322"/>
      <c r="IH16" s="322"/>
      <c r="II16" s="322"/>
      <c r="IJ16" s="322"/>
      <c r="IK16" s="322"/>
      <c r="IL16" s="322"/>
      <c r="IM16" s="322"/>
      <c r="IN16" s="322"/>
      <c r="IO16" s="322"/>
      <c r="IP16" s="322"/>
      <c r="IQ16" s="322"/>
      <c r="IR16" s="322"/>
      <c r="IS16" s="322"/>
    </row>
    <row r="17" spans="1:253" ht="9.9499999999999993" customHeight="1">
      <c r="A17" s="323"/>
      <c r="B17" s="314"/>
      <c r="C17" s="314"/>
      <c r="D17" s="314"/>
      <c r="E17" s="314"/>
      <c r="F17" s="314"/>
      <c r="G17" s="314"/>
      <c r="H17" s="315"/>
      <c r="I17" s="314"/>
    </row>
    <row r="18" spans="1:253" ht="15" customHeight="1">
      <c r="A18" s="324" t="s">
        <v>61</v>
      </c>
      <c r="B18" s="325" t="s">
        <v>62</v>
      </c>
      <c r="C18" s="326" t="s">
        <v>421</v>
      </c>
      <c r="D18" s="327">
        <f>D19</f>
        <v>12601553</v>
      </c>
      <c r="E18" s="328" t="s">
        <v>421</v>
      </c>
      <c r="F18" s="327">
        <f>F19</f>
        <v>12601553</v>
      </c>
      <c r="G18" s="327">
        <f>G19</f>
        <v>12601553</v>
      </c>
      <c r="H18" s="327">
        <f>H19</f>
        <v>0</v>
      </c>
      <c r="I18" s="326" t="s">
        <v>421</v>
      </c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  <c r="DX18" s="329"/>
      <c r="DY18" s="329"/>
      <c r="DZ18" s="329"/>
      <c r="EA18" s="329"/>
      <c r="EB18" s="329"/>
      <c r="EC18" s="329"/>
      <c r="ED18" s="329"/>
      <c r="EE18" s="329"/>
      <c r="EF18" s="329"/>
      <c r="EG18" s="329"/>
      <c r="EH18" s="329"/>
      <c r="EI18" s="329"/>
      <c r="EJ18" s="329"/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29"/>
      <c r="EW18" s="329"/>
      <c r="EX18" s="329"/>
      <c r="EY18" s="329"/>
      <c r="EZ18" s="329"/>
      <c r="FA18" s="329"/>
      <c r="FB18" s="329"/>
      <c r="FC18" s="329"/>
      <c r="FD18" s="329"/>
      <c r="FE18" s="329"/>
      <c r="FF18" s="329"/>
      <c r="FG18" s="329"/>
      <c r="FH18" s="329"/>
      <c r="FI18" s="329"/>
      <c r="FJ18" s="329"/>
      <c r="FK18" s="329"/>
      <c r="FL18" s="329"/>
      <c r="FM18" s="329"/>
      <c r="FN18" s="329"/>
      <c r="FO18" s="329"/>
      <c r="FP18" s="329"/>
      <c r="FQ18" s="329"/>
      <c r="FR18" s="329"/>
      <c r="FS18" s="329"/>
      <c r="FT18" s="329"/>
      <c r="FU18" s="329"/>
      <c r="FV18" s="329"/>
      <c r="FW18" s="329"/>
      <c r="FX18" s="329"/>
      <c r="FY18" s="329"/>
      <c r="FZ18" s="329"/>
      <c r="GA18" s="329"/>
      <c r="GB18" s="329"/>
      <c r="GC18" s="329"/>
      <c r="GD18" s="329"/>
      <c r="GE18" s="329"/>
      <c r="GF18" s="329"/>
      <c r="GG18" s="329"/>
      <c r="GH18" s="329"/>
      <c r="GI18" s="329"/>
      <c r="GJ18" s="329"/>
      <c r="GK18" s="329"/>
      <c r="GL18" s="329"/>
      <c r="GM18" s="329"/>
      <c r="GN18" s="329"/>
      <c r="GO18" s="329"/>
      <c r="GP18" s="329"/>
      <c r="GQ18" s="329"/>
      <c r="GR18" s="329"/>
      <c r="GS18" s="329"/>
      <c r="GT18" s="329"/>
      <c r="GU18" s="329"/>
      <c r="GV18" s="329"/>
      <c r="GW18" s="329"/>
      <c r="GX18" s="329"/>
      <c r="GY18" s="329"/>
      <c r="GZ18" s="329"/>
      <c r="HA18" s="329"/>
      <c r="HB18" s="329"/>
      <c r="HC18" s="329"/>
      <c r="HD18" s="329"/>
      <c r="HE18" s="329"/>
      <c r="HF18" s="329"/>
      <c r="HG18" s="329"/>
      <c r="HH18" s="329"/>
      <c r="HI18" s="329"/>
      <c r="HJ18" s="329"/>
      <c r="HK18" s="329"/>
      <c r="HL18" s="329"/>
      <c r="HM18" s="329"/>
      <c r="HN18" s="329"/>
      <c r="HO18" s="329"/>
      <c r="HP18" s="329"/>
      <c r="HQ18" s="329"/>
      <c r="HR18" s="329"/>
      <c r="HS18" s="329"/>
      <c r="HT18" s="329"/>
      <c r="HU18" s="329"/>
      <c r="HV18" s="329"/>
      <c r="HW18" s="329"/>
      <c r="HX18" s="329"/>
      <c r="HY18" s="329"/>
      <c r="HZ18" s="329"/>
      <c r="IA18" s="329"/>
      <c r="IB18" s="329"/>
      <c r="IC18" s="329"/>
      <c r="ID18" s="329"/>
      <c r="IE18" s="329"/>
      <c r="IF18" s="329"/>
      <c r="IG18" s="329"/>
      <c r="IH18" s="329"/>
      <c r="II18" s="329"/>
      <c r="IJ18" s="329"/>
      <c r="IK18" s="329"/>
      <c r="IL18" s="329"/>
      <c r="IM18" s="329"/>
      <c r="IN18" s="329"/>
      <c r="IO18" s="329"/>
      <c r="IP18" s="329"/>
      <c r="IQ18" s="329"/>
      <c r="IR18" s="329"/>
      <c r="IS18" s="329"/>
    </row>
    <row r="19" spans="1:253" s="672" customFormat="1" ht="42" customHeight="1">
      <c r="A19" s="667" t="s">
        <v>64</v>
      </c>
      <c r="B19" s="668" t="s">
        <v>423</v>
      </c>
      <c r="C19" s="669">
        <v>2024</v>
      </c>
      <c r="D19" s="670">
        <v>12601553</v>
      </c>
      <c r="E19" s="671" t="s">
        <v>421</v>
      </c>
      <c r="F19" s="670">
        <f>G19+H19</f>
        <v>12601553</v>
      </c>
      <c r="G19" s="670">
        <v>12601553</v>
      </c>
      <c r="H19" s="670">
        <v>0</v>
      </c>
      <c r="I19" s="668" t="s">
        <v>424</v>
      </c>
    </row>
    <row r="20" spans="1:253" ht="15" customHeight="1">
      <c r="A20" s="324" t="s">
        <v>23</v>
      </c>
      <c r="B20" s="325" t="s">
        <v>24</v>
      </c>
      <c r="C20" s="326" t="s">
        <v>421</v>
      </c>
      <c r="D20" s="327">
        <f>D21+D22+D23+D24+D25+D26+D27+D29+D30+D31+D32+D28</f>
        <v>130808924</v>
      </c>
      <c r="E20" s="328" t="s">
        <v>421</v>
      </c>
      <c r="F20" s="327">
        <f>F21+F22+F23+F24+F25+F26+F27+F29+F30+F31+F32+F28</f>
        <v>130808924</v>
      </c>
      <c r="G20" s="327">
        <f>G21+G22+G23+G24+G25+G26+G27+G29+G30+G31+G32+G28</f>
        <v>121933924</v>
      </c>
      <c r="H20" s="327">
        <f>H21+H22+H23+H24+H25+H26+H27+H29+H30+H31+H32+H28</f>
        <v>8875000</v>
      </c>
      <c r="I20" s="326" t="s">
        <v>421</v>
      </c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329"/>
      <c r="DL20" s="329"/>
      <c r="DM20" s="329"/>
      <c r="DN20" s="329"/>
      <c r="DO20" s="329"/>
      <c r="DP20" s="329"/>
      <c r="DQ20" s="329"/>
      <c r="DR20" s="329"/>
      <c r="DS20" s="329"/>
      <c r="DT20" s="329"/>
      <c r="DU20" s="329"/>
      <c r="DV20" s="329"/>
      <c r="DW20" s="329"/>
      <c r="DX20" s="329"/>
      <c r="DY20" s="329"/>
      <c r="DZ20" s="329"/>
      <c r="EA20" s="329"/>
      <c r="EB20" s="329"/>
      <c r="EC20" s="329"/>
      <c r="ED20" s="329"/>
      <c r="EE20" s="329"/>
      <c r="EF20" s="329"/>
      <c r="EG20" s="329"/>
      <c r="EH20" s="329"/>
      <c r="EI20" s="329"/>
      <c r="EJ20" s="329"/>
      <c r="EK20" s="329"/>
      <c r="EL20" s="329"/>
      <c r="EM20" s="329"/>
      <c r="EN20" s="329"/>
      <c r="EO20" s="329"/>
      <c r="EP20" s="329"/>
      <c r="EQ20" s="329"/>
      <c r="ER20" s="329"/>
      <c r="ES20" s="329"/>
      <c r="ET20" s="329"/>
      <c r="EU20" s="329"/>
      <c r="EV20" s="329"/>
      <c r="EW20" s="329"/>
      <c r="EX20" s="329"/>
      <c r="EY20" s="329"/>
      <c r="EZ20" s="329"/>
      <c r="FA20" s="329"/>
      <c r="FB20" s="329"/>
      <c r="FC20" s="329"/>
      <c r="FD20" s="329"/>
      <c r="FE20" s="329"/>
      <c r="FF20" s="329"/>
      <c r="FG20" s="329"/>
      <c r="FH20" s="329"/>
      <c r="FI20" s="329"/>
      <c r="FJ20" s="329"/>
      <c r="FK20" s="329"/>
      <c r="FL20" s="329"/>
      <c r="FM20" s="329"/>
      <c r="FN20" s="329"/>
      <c r="FO20" s="329"/>
      <c r="FP20" s="329"/>
      <c r="FQ20" s="329"/>
      <c r="FR20" s="329"/>
      <c r="FS20" s="329"/>
      <c r="FT20" s="329"/>
      <c r="FU20" s="329"/>
      <c r="FV20" s="329"/>
      <c r="FW20" s="329"/>
      <c r="FX20" s="329"/>
      <c r="FY20" s="329"/>
      <c r="FZ20" s="329"/>
      <c r="GA20" s="329"/>
      <c r="GB20" s="329"/>
      <c r="GC20" s="329"/>
      <c r="GD20" s="329"/>
      <c r="GE20" s="329"/>
      <c r="GF20" s="329"/>
      <c r="GG20" s="329"/>
      <c r="GH20" s="329"/>
      <c r="GI20" s="329"/>
      <c r="GJ20" s="329"/>
      <c r="GK20" s="329"/>
      <c r="GL20" s="329"/>
      <c r="GM20" s="329"/>
      <c r="GN20" s="329"/>
      <c r="GO20" s="329"/>
      <c r="GP20" s="329"/>
      <c r="GQ20" s="329"/>
      <c r="GR20" s="329"/>
      <c r="GS20" s="329"/>
      <c r="GT20" s="329"/>
      <c r="GU20" s="329"/>
      <c r="GV20" s="329"/>
      <c r="GW20" s="329"/>
      <c r="GX20" s="329"/>
      <c r="GY20" s="329"/>
      <c r="GZ20" s="329"/>
      <c r="HA20" s="329"/>
      <c r="HB20" s="329"/>
      <c r="HC20" s="329"/>
      <c r="HD20" s="329"/>
      <c r="HE20" s="329"/>
      <c r="HF20" s="329"/>
      <c r="HG20" s="329"/>
      <c r="HH20" s="329"/>
      <c r="HI20" s="329"/>
      <c r="HJ20" s="329"/>
      <c r="HK20" s="329"/>
      <c r="HL20" s="329"/>
      <c r="HM20" s="329"/>
      <c r="HN20" s="329"/>
      <c r="HO20" s="329"/>
      <c r="HP20" s="329"/>
      <c r="HQ20" s="329"/>
      <c r="HR20" s="329"/>
      <c r="HS20" s="329"/>
      <c r="HT20" s="329"/>
      <c r="HU20" s="329"/>
      <c r="HV20" s="329"/>
      <c r="HW20" s="329"/>
      <c r="HX20" s="329"/>
      <c r="HY20" s="329"/>
      <c r="HZ20" s="329"/>
      <c r="IA20" s="329"/>
      <c r="IB20" s="329"/>
      <c r="IC20" s="329"/>
      <c r="ID20" s="329"/>
      <c r="IE20" s="329"/>
      <c r="IF20" s="329"/>
      <c r="IG20" s="329"/>
      <c r="IH20" s="329"/>
      <c r="II20" s="329"/>
      <c r="IJ20" s="329"/>
      <c r="IK20" s="329"/>
      <c r="IL20" s="329"/>
      <c r="IM20" s="329"/>
      <c r="IN20" s="329"/>
      <c r="IO20" s="329"/>
      <c r="IP20" s="329"/>
      <c r="IQ20" s="329"/>
      <c r="IR20" s="329"/>
      <c r="IS20" s="329"/>
    </row>
    <row r="21" spans="1:253" s="672" customFormat="1" ht="42" customHeight="1">
      <c r="A21" s="667" t="s">
        <v>325</v>
      </c>
      <c r="B21" s="668" t="s">
        <v>265</v>
      </c>
      <c r="C21" s="669">
        <v>2024</v>
      </c>
      <c r="D21" s="670">
        <v>6875000</v>
      </c>
      <c r="E21" s="671" t="s">
        <v>421</v>
      </c>
      <c r="F21" s="670">
        <f>G21+H21</f>
        <v>6875000</v>
      </c>
      <c r="G21" s="670">
        <v>0</v>
      </c>
      <c r="H21" s="670">
        <v>6875000</v>
      </c>
      <c r="I21" s="668" t="s">
        <v>424</v>
      </c>
    </row>
    <row r="22" spans="1:253" s="672" customFormat="1" ht="42" customHeight="1">
      <c r="A22" s="667" t="s">
        <v>425</v>
      </c>
      <c r="B22" s="668" t="s">
        <v>426</v>
      </c>
      <c r="C22" s="669">
        <v>2024</v>
      </c>
      <c r="D22" s="670">
        <v>200000</v>
      </c>
      <c r="E22" s="671" t="s">
        <v>421</v>
      </c>
      <c r="F22" s="670">
        <f>G22+H22</f>
        <v>200000</v>
      </c>
      <c r="G22" s="670">
        <v>200000</v>
      </c>
      <c r="H22" s="670">
        <v>0</v>
      </c>
      <c r="I22" s="668" t="s">
        <v>424</v>
      </c>
    </row>
    <row r="23" spans="1:253" ht="15" customHeight="1">
      <c r="A23" s="330" t="s">
        <v>250</v>
      </c>
      <c r="B23" s="331" t="s">
        <v>427</v>
      </c>
      <c r="C23" s="332">
        <v>2024</v>
      </c>
      <c r="D23" s="333">
        <v>30000000</v>
      </c>
      <c r="E23" s="334" t="s">
        <v>421</v>
      </c>
      <c r="F23" s="333">
        <f>G23+H23</f>
        <v>30000000</v>
      </c>
      <c r="G23" s="333">
        <v>30000000</v>
      </c>
      <c r="H23" s="333">
        <v>0</v>
      </c>
      <c r="I23" s="331" t="s">
        <v>428</v>
      </c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335"/>
      <c r="BU23" s="335"/>
      <c r="BV23" s="335"/>
      <c r="BW23" s="335"/>
      <c r="BX23" s="335"/>
      <c r="BY23" s="335"/>
      <c r="BZ23" s="335"/>
      <c r="CA23" s="335"/>
      <c r="CB23" s="335"/>
      <c r="CC23" s="335"/>
      <c r="CD23" s="335"/>
      <c r="CE23" s="335"/>
      <c r="CF23" s="335"/>
      <c r="CG23" s="335"/>
      <c r="CH23" s="335"/>
      <c r="CI23" s="335"/>
      <c r="CJ23" s="335"/>
      <c r="CK23" s="335"/>
      <c r="CL23" s="335"/>
      <c r="CM23" s="335"/>
      <c r="CN23" s="335"/>
      <c r="CO23" s="335"/>
      <c r="CP23" s="335"/>
      <c r="CQ23" s="335"/>
      <c r="CR23" s="335"/>
      <c r="CS23" s="335"/>
      <c r="CT23" s="335"/>
      <c r="CU23" s="335"/>
      <c r="CV23" s="335"/>
      <c r="CW23" s="335"/>
      <c r="CX23" s="335"/>
      <c r="CY23" s="335"/>
      <c r="CZ23" s="335"/>
      <c r="DA23" s="335"/>
      <c r="DB23" s="335"/>
      <c r="DC23" s="335"/>
      <c r="DD23" s="335"/>
      <c r="DE23" s="335"/>
      <c r="DF23" s="335"/>
      <c r="DG23" s="335"/>
      <c r="DH23" s="335"/>
      <c r="DI23" s="335"/>
      <c r="DJ23" s="335"/>
      <c r="DK23" s="335"/>
      <c r="DL23" s="335"/>
      <c r="DM23" s="335"/>
      <c r="DN23" s="335"/>
      <c r="DO23" s="335"/>
      <c r="DP23" s="335"/>
      <c r="DQ23" s="335"/>
      <c r="DR23" s="335"/>
      <c r="DS23" s="335"/>
      <c r="DT23" s="335"/>
      <c r="DU23" s="335"/>
      <c r="DV23" s="335"/>
      <c r="DW23" s="335"/>
      <c r="DX23" s="335"/>
      <c r="DY23" s="335"/>
      <c r="DZ23" s="335"/>
      <c r="EA23" s="335"/>
      <c r="EB23" s="335"/>
      <c r="EC23" s="335"/>
      <c r="ED23" s="335"/>
      <c r="EE23" s="335"/>
      <c r="EF23" s="335"/>
      <c r="EG23" s="335"/>
      <c r="EH23" s="335"/>
      <c r="EI23" s="335"/>
      <c r="EJ23" s="335"/>
      <c r="EK23" s="335"/>
      <c r="EL23" s="335"/>
      <c r="EM23" s="335"/>
      <c r="EN23" s="335"/>
      <c r="EO23" s="335"/>
      <c r="EP23" s="335"/>
      <c r="EQ23" s="335"/>
      <c r="ER23" s="335"/>
      <c r="ES23" s="335"/>
      <c r="ET23" s="335"/>
      <c r="EU23" s="335"/>
      <c r="EV23" s="335"/>
      <c r="EW23" s="335"/>
      <c r="EX23" s="335"/>
      <c r="EY23" s="335"/>
      <c r="EZ23" s="335"/>
      <c r="FA23" s="335"/>
      <c r="FB23" s="335"/>
      <c r="FC23" s="335"/>
      <c r="FD23" s="335"/>
      <c r="FE23" s="335"/>
      <c r="FF23" s="335"/>
      <c r="FG23" s="335"/>
      <c r="FH23" s="335"/>
      <c r="FI23" s="335"/>
      <c r="FJ23" s="335"/>
      <c r="FK23" s="335"/>
      <c r="FL23" s="335"/>
      <c r="FM23" s="335"/>
      <c r="FN23" s="335"/>
      <c r="FO23" s="335"/>
      <c r="FP23" s="335"/>
      <c r="FQ23" s="335"/>
      <c r="FR23" s="335"/>
      <c r="FS23" s="335"/>
      <c r="FT23" s="335"/>
      <c r="FU23" s="335"/>
      <c r="FV23" s="335"/>
      <c r="FW23" s="335"/>
      <c r="FX23" s="335"/>
      <c r="FY23" s="335"/>
      <c r="FZ23" s="335"/>
      <c r="GA23" s="335"/>
      <c r="GB23" s="335"/>
      <c r="GC23" s="335"/>
      <c r="GD23" s="335"/>
      <c r="GE23" s="335"/>
      <c r="GF23" s="335"/>
      <c r="GG23" s="335"/>
      <c r="GH23" s="335"/>
      <c r="GI23" s="335"/>
      <c r="GJ23" s="335"/>
      <c r="GK23" s="335"/>
      <c r="GL23" s="335"/>
      <c r="GM23" s="335"/>
      <c r="GN23" s="335"/>
      <c r="GO23" s="335"/>
      <c r="GP23" s="335"/>
      <c r="GQ23" s="335"/>
      <c r="GR23" s="335"/>
      <c r="GS23" s="335"/>
      <c r="GT23" s="335"/>
      <c r="GU23" s="335"/>
      <c r="GV23" s="335"/>
      <c r="GW23" s="335"/>
      <c r="GX23" s="335"/>
      <c r="GY23" s="335"/>
      <c r="GZ23" s="335"/>
      <c r="HA23" s="335"/>
      <c r="HB23" s="335"/>
      <c r="HC23" s="335"/>
      <c r="HD23" s="335"/>
      <c r="HE23" s="335"/>
      <c r="HF23" s="335"/>
      <c r="HG23" s="335"/>
      <c r="HH23" s="335"/>
      <c r="HI23" s="335"/>
      <c r="HJ23" s="335"/>
      <c r="HK23" s="335"/>
      <c r="HL23" s="335"/>
      <c r="HM23" s="335"/>
      <c r="HN23" s="335"/>
      <c r="HO23" s="335"/>
      <c r="HP23" s="335"/>
      <c r="HQ23" s="335"/>
      <c r="HR23" s="335"/>
      <c r="HS23" s="335"/>
      <c r="HT23" s="335"/>
      <c r="HU23" s="335"/>
      <c r="HV23" s="335"/>
      <c r="HW23" s="335"/>
      <c r="HX23" s="335"/>
      <c r="HY23" s="335"/>
      <c r="HZ23" s="335"/>
      <c r="IA23" s="335"/>
      <c r="IB23" s="335"/>
      <c r="IC23" s="335"/>
      <c r="ID23" s="335"/>
      <c r="IE23" s="335"/>
      <c r="IF23" s="335"/>
      <c r="IG23" s="335"/>
      <c r="IH23" s="335"/>
      <c r="II23" s="335"/>
      <c r="IJ23" s="335"/>
      <c r="IK23" s="335"/>
      <c r="IL23" s="335"/>
      <c r="IM23" s="335"/>
      <c r="IN23" s="335"/>
      <c r="IO23" s="335"/>
      <c r="IP23" s="335"/>
      <c r="IQ23" s="335"/>
      <c r="IR23" s="335"/>
      <c r="IS23" s="335"/>
    </row>
    <row r="24" spans="1:253" ht="15" customHeight="1">
      <c r="A24" s="330" t="s">
        <v>250</v>
      </c>
      <c r="B24" s="331" t="s">
        <v>429</v>
      </c>
      <c r="C24" s="332">
        <v>2024</v>
      </c>
      <c r="D24" s="333">
        <v>3000000</v>
      </c>
      <c r="E24" s="334" t="s">
        <v>421</v>
      </c>
      <c r="F24" s="333">
        <f t="shared" ref="F24:F32" si="0">G24+H24</f>
        <v>3000000</v>
      </c>
      <c r="G24" s="333">
        <v>3000000</v>
      </c>
      <c r="H24" s="333">
        <v>0</v>
      </c>
      <c r="I24" s="331" t="s">
        <v>428</v>
      </c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5"/>
      <c r="CE24" s="335"/>
      <c r="CF24" s="335"/>
      <c r="CG24" s="335"/>
      <c r="CH24" s="335"/>
      <c r="CI24" s="335"/>
      <c r="CJ24" s="335"/>
      <c r="CK24" s="335"/>
      <c r="CL24" s="335"/>
      <c r="CM24" s="335"/>
      <c r="CN24" s="335"/>
      <c r="CO24" s="335"/>
      <c r="CP24" s="335"/>
      <c r="CQ24" s="335"/>
      <c r="CR24" s="335"/>
      <c r="CS24" s="335"/>
      <c r="CT24" s="335"/>
      <c r="CU24" s="335"/>
      <c r="CV24" s="335"/>
      <c r="CW24" s="335"/>
      <c r="CX24" s="335"/>
      <c r="CY24" s="335"/>
      <c r="CZ24" s="335"/>
      <c r="DA24" s="335"/>
      <c r="DB24" s="335"/>
      <c r="DC24" s="335"/>
      <c r="DD24" s="335"/>
      <c r="DE24" s="335"/>
      <c r="DF24" s="335"/>
      <c r="DG24" s="335"/>
      <c r="DH24" s="335"/>
      <c r="DI24" s="335"/>
      <c r="DJ24" s="335"/>
      <c r="DK24" s="335"/>
      <c r="DL24" s="335"/>
      <c r="DM24" s="335"/>
      <c r="DN24" s="335"/>
      <c r="DO24" s="335"/>
      <c r="DP24" s="335"/>
      <c r="DQ24" s="335"/>
      <c r="DR24" s="335"/>
      <c r="DS24" s="335"/>
      <c r="DT24" s="335"/>
      <c r="DU24" s="335"/>
      <c r="DV24" s="335"/>
      <c r="DW24" s="335"/>
      <c r="DX24" s="335"/>
      <c r="DY24" s="335"/>
      <c r="DZ24" s="335"/>
      <c r="EA24" s="335"/>
      <c r="EB24" s="335"/>
      <c r="EC24" s="335"/>
      <c r="ED24" s="335"/>
      <c r="EE24" s="335"/>
      <c r="EF24" s="335"/>
      <c r="EG24" s="335"/>
      <c r="EH24" s="335"/>
      <c r="EI24" s="335"/>
      <c r="EJ24" s="335"/>
      <c r="EK24" s="335"/>
      <c r="EL24" s="335"/>
      <c r="EM24" s="335"/>
      <c r="EN24" s="335"/>
      <c r="EO24" s="335"/>
      <c r="EP24" s="335"/>
      <c r="EQ24" s="335"/>
      <c r="ER24" s="335"/>
      <c r="ES24" s="335"/>
      <c r="ET24" s="335"/>
      <c r="EU24" s="335"/>
      <c r="EV24" s="335"/>
      <c r="EW24" s="335"/>
      <c r="EX24" s="335"/>
      <c r="EY24" s="335"/>
      <c r="EZ24" s="335"/>
      <c r="FA24" s="335"/>
      <c r="FB24" s="335"/>
      <c r="FC24" s="335"/>
      <c r="FD24" s="335"/>
      <c r="FE24" s="335"/>
      <c r="FF24" s="335"/>
      <c r="FG24" s="335"/>
      <c r="FH24" s="335"/>
      <c r="FI24" s="335"/>
      <c r="FJ24" s="335"/>
      <c r="FK24" s="335"/>
      <c r="FL24" s="335"/>
      <c r="FM24" s="335"/>
      <c r="FN24" s="335"/>
      <c r="FO24" s="335"/>
      <c r="FP24" s="335"/>
      <c r="FQ24" s="335"/>
      <c r="FR24" s="335"/>
      <c r="FS24" s="335"/>
      <c r="FT24" s="335"/>
      <c r="FU24" s="335"/>
      <c r="FV24" s="335"/>
      <c r="FW24" s="335"/>
      <c r="FX24" s="335"/>
      <c r="FY24" s="335"/>
      <c r="FZ24" s="335"/>
      <c r="GA24" s="335"/>
      <c r="GB24" s="335"/>
      <c r="GC24" s="335"/>
      <c r="GD24" s="335"/>
      <c r="GE24" s="335"/>
      <c r="GF24" s="335"/>
      <c r="GG24" s="335"/>
      <c r="GH24" s="335"/>
      <c r="GI24" s="335"/>
      <c r="GJ24" s="335"/>
      <c r="GK24" s="335"/>
      <c r="GL24" s="335"/>
      <c r="GM24" s="335"/>
      <c r="GN24" s="335"/>
      <c r="GO24" s="335"/>
      <c r="GP24" s="335"/>
      <c r="GQ24" s="335"/>
      <c r="GR24" s="335"/>
      <c r="GS24" s="335"/>
      <c r="GT24" s="335"/>
      <c r="GU24" s="335"/>
      <c r="GV24" s="335"/>
      <c r="GW24" s="335"/>
      <c r="GX24" s="335"/>
      <c r="GY24" s="335"/>
      <c r="GZ24" s="335"/>
      <c r="HA24" s="335"/>
      <c r="HB24" s="335"/>
      <c r="HC24" s="335"/>
      <c r="HD24" s="335"/>
      <c r="HE24" s="335"/>
      <c r="HF24" s="335"/>
      <c r="HG24" s="335"/>
      <c r="HH24" s="335"/>
      <c r="HI24" s="335"/>
      <c r="HJ24" s="335"/>
      <c r="HK24" s="335"/>
      <c r="HL24" s="335"/>
      <c r="HM24" s="335"/>
      <c r="HN24" s="335"/>
      <c r="HO24" s="335"/>
      <c r="HP24" s="335"/>
      <c r="HQ24" s="335"/>
      <c r="HR24" s="335"/>
      <c r="HS24" s="335"/>
      <c r="HT24" s="335"/>
      <c r="HU24" s="335"/>
      <c r="HV24" s="335"/>
      <c r="HW24" s="335"/>
      <c r="HX24" s="335"/>
      <c r="HY24" s="335"/>
      <c r="HZ24" s="335"/>
      <c r="IA24" s="335"/>
      <c r="IB24" s="335"/>
      <c r="IC24" s="335"/>
      <c r="ID24" s="335"/>
      <c r="IE24" s="335"/>
      <c r="IF24" s="335"/>
      <c r="IG24" s="335"/>
      <c r="IH24" s="335"/>
      <c r="II24" s="335"/>
      <c r="IJ24" s="335"/>
      <c r="IK24" s="335"/>
      <c r="IL24" s="335"/>
      <c r="IM24" s="335"/>
      <c r="IN24" s="335"/>
      <c r="IO24" s="335"/>
      <c r="IP24" s="335"/>
      <c r="IQ24" s="335"/>
      <c r="IR24" s="335"/>
      <c r="IS24" s="335"/>
    </row>
    <row r="25" spans="1:253" ht="15" customHeight="1">
      <c r="A25" s="330" t="s">
        <v>250</v>
      </c>
      <c r="B25" s="331" t="s">
        <v>430</v>
      </c>
      <c r="C25" s="332">
        <v>2024</v>
      </c>
      <c r="D25" s="333">
        <v>2000000</v>
      </c>
      <c r="E25" s="334" t="s">
        <v>421</v>
      </c>
      <c r="F25" s="333">
        <f t="shared" si="0"/>
        <v>2000000</v>
      </c>
      <c r="G25" s="333">
        <v>2000000</v>
      </c>
      <c r="H25" s="333">
        <v>0</v>
      </c>
      <c r="I25" s="331" t="s">
        <v>428</v>
      </c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335"/>
      <c r="CF25" s="335"/>
      <c r="CG25" s="335"/>
      <c r="CH25" s="335"/>
      <c r="CI25" s="335"/>
      <c r="CJ25" s="335"/>
      <c r="CK25" s="335"/>
      <c r="CL25" s="335"/>
      <c r="CM25" s="335"/>
      <c r="CN25" s="335"/>
      <c r="CO25" s="335"/>
      <c r="CP25" s="335"/>
      <c r="CQ25" s="335"/>
      <c r="CR25" s="335"/>
      <c r="CS25" s="335"/>
      <c r="CT25" s="335"/>
      <c r="CU25" s="335"/>
      <c r="CV25" s="335"/>
      <c r="CW25" s="335"/>
      <c r="CX25" s="335"/>
      <c r="CY25" s="335"/>
      <c r="CZ25" s="335"/>
      <c r="DA25" s="335"/>
      <c r="DB25" s="335"/>
      <c r="DC25" s="335"/>
      <c r="DD25" s="335"/>
      <c r="DE25" s="335"/>
      <c r="DF25" s="335"/>
      <c r="DG25" s="335"/>
      <c r="DH25" s="335"/>
      <c r="DI25" s="335"/>
      <c r="DJ25" s="335"/>
      <c r="DK25" s="335"/>
      <c r="DL25" s="335"/>
      <c r="DM25" s="335"/>
      <c r="DN25" s="335"/>
      <c r="DO25" s="335"/>
      <c r="DP25" s="335"/>
      <c r="DQ25" s="335"/>
      <c r="DR25" s="335"/>
      <c r="DS25" s="335"/>
      <c r="DT25" s="335"/>
      <c r="DU25" s="335"/>
      <c r="DV25" s="335"/>
      <c r="DW25" s="335"/>
      <c r="DX25" s="335"/>
      <c r="DY25" s="335"/>
      <c r="DZ25" s="335"/>
      <c r="EA25" s="335"/>
      <c r="EB25" s="335"/>
      <c r="EC25" s="335"/>
      <c r="ED25" s="335"/>
      <c r="EE25" s="335"/>
      <c r="EF25" s="335"/>
      <c r="EG25" s="335"/>
      <c r="EH25" s="335"/>
      <c r="EI25" s="335"/>
      <c r="EJ25" s="335"/>
      <c r="EK25" s="335"/>
      <c r="EL25" s="335"/>
      <c r="EM25" s="335"/>
      <c r="EN25" s="335"/>
      <c r="EO25" s="335"/>
      <c r="EP25" s="335"/>
      <c r="EQ25" s="335"/>
      <c r="ER25" s="335"/>
      <c r="ES25" s="335"/>
      <c r="ET25" s="335"/>
      <c r="EU25" s="335"/>
      <c r="EV25" s="335"/>
      <c r="EW25" s="335"/>
      <c r="EX25" s="335"/>
      <c r="EY25" s="335"/>
      <c r="EZ25" s="335"/>
      <c r="FA25" s="335"/>
      <c r="FB25" s="335"/>
      <c r="FC25" s="335"/>
      <c r="FD25" s="335"/>
      <c r="FE25" s="335"/>
      <c r="FF25" s="335"/>
      <c r="FG25" s="335"/>
      <c r="FH25" s="335"/>
      <c r="FI25" s="335"/>
      <c r="FJ25" s="335"/>
      <c r="FK25" s="335"/>
      <c r="FL25" s="335"/>
      <c r="FM25" s="335"/>
      <c r="FN25" s="335"/>
      <c r="FO25" s="335"/>
      <c r="FP25" s="335"/>
      <c r="FQ25" s="335"/>
      <c r="FR25" s="335"/>
      <c r="FS25" s="335"/>
      <c r="FT25" s="335"/>
      <c r="FU25" s="335"/>
      <c r="FV25" s="335"/>
      <c r="FW25" s="335"/>
      <c r="FX25" s="335"/>
      <c r="FY25" s="335"/>
      <c r="FZ25" s="335"/>
      <c r="GA25" s="335"/>
      <c r="GB25" s="335"/>
      <c r="GC25" s="335"/>
      <c r="GD25" s="335"/>
      <c r="GE25" s="335"/>
      <c r="GF25" s="335"/>
      <c r="GG25" s="335"/>
      <c r="GH25" s="335"/>
      <c r="GI25" s="335"/>
      <c r="GJ25" s="335"/>
      <c r="GK25" s="335"/>
      <c r="GL25" s="335"/>
      <c r="GM25" s="335"/>
      <c r="GN25" s="335"/>
      <c r="GO25" s="335"/>
      <c r="GP25" s="335"/>
      <c r="GQ25" s="335"/>
      <c r="GR25" s="335"/>
      <c r="GS25" s="335"/>
      <c r="GT25" s="335"/>
      <c r="GU25" s="335"/>
      <c r="GV25" s="335"/>
      <c r="GW25" s="335"/>
      <c r="GX25" s="335"/>
      <c r="GY25" s="335"/>
      <c r="GZ25" s="335"/>
      <c r="HA25" s="335"/>
      <c r="HB25" s="335"/>
      <c r="HC25" s="335"/>
      <c r="HD25" s="335"/>
      <c r="HE25" s="335"/>
      <c r="HF25" s="335"/>
      <c r="HG25" s="335"/>
      <c r="HH25" s="335"/>
      <c r="HI25" s="335"/>
      <c r="HJ25" s="335"/>
      <c r="HK25" s="335"/>
      <c r="HL25" s="335"/>
      <c r="HM25" s="335"/>
      <c r="HN25" s="335"/>
      <c r="HO25" s="335"/>
      <c r="HP25" s="335"/>
      <c r="HQ25" s="335"/>
      <c r="HR25" s="335"/>
      <c r="HS25" s="335"/>
      <c r="HT25" s="335"/>
      <c r="HU25" s="335"/>
      <c r="HV25" s="335"/>
      <c r="HW25" s="335"/>
      <c r="HX25" s="335"/>
      <c r="HY25" s="335"/>
      <c r="HZ25" s="335"/>
      <c r="IA25" s="335"/>
      <c r="IB25" s="335"/>
      <c r="IC25" s="335"/>
      <c r="ID25" s="335"/>
      <c r="IE25" s="335"/>
      <c r="IF25" s="335"/>
      <c r="IG25" s="335"/>
      <c r="IH25" s="335"/>
      <c r="II25" s="335"/>
      <c r="IJ25" s="335"/>
      <c r="IK25" s="335"/>
      <c r="IL25" s="335"/>
      <c r="IM25" s="335"/>
      <c r="IN25" s="335"/>
      <c r="IO25" s="335"/>
      <c r="IP25" s="335"/>
      <c r="IQ25" s="335"/>
      <c r="IR25" s="335"/>
      <c r="IS25" s="335"/>
    </row>
    <row r="26" spans="1:253" s="672" customFormat="1" ht="68.099999999999994" customHeight="1">
      <c r="A26" s="667" t="s">
        <v>250</v>
      </c>
      <c r="B26" s="668" t="s">
        <v>431</v>
      </c>
      <c r="C26" s="669">
        <v>2024</v>
      </c>
      <c r="D26" s="670">
        <v>12733924</v>
      </c>
      <c r="E26" s="671" t="s">
        <v>421</v>
      </c>
      <c r="F26" s="670">
        <f t="shared" si="0"/>
        <v>12733924</v>
      </c>
      <c r="G26" s="670">
        <v>12733924</v>
      </c>
      <c r="H26" s="670">
        <v>0</v>
      </c>
      <c r="I26" s="668" t="s">
        <v>428</v>
      </c>
    </row>
    <row r="27" spans="1:253" s="672" customFormat="1" ht="29.1" customHeight="1">
      <c r="A27" s="667" t="s">
        <v>250</v>
      </c>
      <c r="B27" s="668" t="s">
        <v>432</v>
      </c>
      <c r="C27" s="669">
        <v>2024</v>
      </c>
      <c r="D27" s="670">
        <v>65000000</v>
      </c>
      <c r="E27" s="671" t="s">
        <v>421</v>
      </c>
      <c r="F27" s="670">
        <f t="shared" si="0"/>
        <v>65000000</v>
      </c>
      <c r="G27" s="670">
        <v>65000000</v>
      </c>
      <c r="H27" s="670">
        <v>0</v>
      </c>
      <c r="I27" s="668" t="s">
        <v>428</v>
      </c>
    </row>
    <row r="28" spans="1:253" s="672" customFormat="1" ht="29.1" customHeight="1">
      <c r="A28" s="667" t="s">
        <v>250</v>
      </c>
      <c r="B28" s="668" t="s">
        <v>433</v>
      </c>
      <c r="C28" s="669">
        <v>2024</v>
      </c>
      <c r="D28" s="670">
        <v>5000000</v>
      </c>
      <c r="E28" s="671" t="s">
        <v>421</v>
      </c>
      <c r="F28" s="670">
        <f t="shared" si="0"/>
        <v>5000000</v>
      </c>
      <c r="G28" s="670">
        <v>3000000</v>
      </c>
      <c r="H28" s="670">
        <v>2000000</v>
      </c>
      <c r="I28" s="668" t="s">
        <v>428</v>
      </c>
    </row>
    <row r="29" spans="1:253" s="672" customFormat="1" ht="29.1" customHeight="1">
      <c r="A29" s="667" t="s">
        <v>250</v>
      </c>
      <c r="B29" s="668" t="s">
        <v>434</v>
      </c>
      <c r="C29" s="669">
        <v>2024</v>
      </c>
      <c r="D29" s="670">
        <v>2000000</v>
      </c>
      <c r="E29" s="671" t="s">
        <v>421</v>
      </c>
      <c r="F29" s="670">
        <f t="shared" si="0"/>
        <v>2000000</v>
      </c>
      <c r="G29" s="670">
        <v>2000000</v>
      </c>
      <c r="H29" s="670">
        <v>0</v>
      </c>
      <c r="I29" s="668" t="s">
        <v>428</v>
      </c>
    </row>
    <row r="30" spans="1:253" ht="15" customHeight="1">
      <c r="A30" s="330" t="s">
        <v>250</v>
      </c>
      <c r="B30" s="331" t="s">
        <v>435</v>
      </c>
      <c r="C30" s="332">
        <v>2024</v>
      </c>
      <c r="D30" s="333">
        <v>2000000</v>
      </c>
      <c r="E30" s="334" t="s">
        <v>421</v>
      </c>
      <c r="F30" s="333">
        <f t="shared" si="0"/>
        <v>2000000</v>
      </c>
      <c r="G30" s="333">
        <v>2000000</v>
      </c>
      <c r="H30" s="333">
        <v>0</v>
      </c>
      <c r="I30" s="331" t="s">
        <v>428</v>
      </c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5"/>
      <c r="CS30" s="335"/>
      <c r="CT30" s="335"/>
      <c r="CU30" s="335"/>
      <c r="CV30" s="335"/>
      <c r="CW30" s="335"/>
      <c r="CX30" s="335"/>
      <c r="CY30" s="335"/>
      <c r="CZ30" s="335"/>
      <c r="DA30" s="335"/>
      <c r="DB30" s="335"/>
      <c r="DC30" s="335"/>
      <c r="DD30" s="335"/>
      <c r="DE30" s="335"/>
      <c r="DF30" s="335"/>
      <c r="DG30" s="335"/>
      <c r="DH30" s="335"/>
      <c r="DI30" s="335"/>
      <c r="DJ30" s="335"/>
      <c r="DK30" s="335"/>
      <c r="DL30" s="335"/>
      <c r="DM30" s="335"/>
      <c r="DN30" s="335"/>
      <c r="DO30" s="335"/>
      <c r="DP30" s="335"/>
      <c r="DQ30" s="335"/>
      <c r="DR30" s="335"/>
      <c r="DS30" s="335"/>
      <c r="DT30" s="335"/>
      <c r="DU30" s="335"/>
      <c r="DV30" s="335"/>
      <c r="DW30" s="335"/>
      <c r="DX30" s="335"/>
      <c r="DY30" s="335"/>
      <c r="DZ30" s="335"/>
      <c r="EA30" s="335"/>
      <c r="EB30" s="335"/>
      <c r="EC30" s="335"/>
      <c r="ED30" s="335"/>
      <c r="EE30" s="335"/>
      <c r="EF30" s="335"/>
      <c r="EG30" s="335"/>
      <c r="EH30" s="335"/>
      <c r="EI30" s="335"/>
      <c r="EJ30" s="335"/>
      <c r="EK30" s="335"/>
      <c r="EL30" s="335"/>
      <c r="EM30" s="335"/>
      <c r="EN30" s="335"/>
      <c r="EO30" s="335"/>
      <c r="EP30" s="335"/>
      <c r="EQ30" s="335"/>
      <c r="ER30" s="335"/>
      <c r="ES30" s="335"/>
      <c r="ET30" s="335"/>
      <c r="EU30" s="335"/>
      <c r="EV30" s="335"/>
      <c r="EW30" s="335"/>
      <c r="EX30" s="335"/>
      <c r="EY30" s="335"/>
      <c r="EZ30" s="335"/>
      <c r="FA30" s="335"/>
      <c r="FB30" s="335"/>
      <c r="FC30" s="335"/>
      <c r="FD30" s="335"/>
      <c r="FE30" s="335"/>
      <c r="FF30" s="335"/>
      <c r="FG30" s="335"/>
      <c r="FH30" s="335"/>
      <c r="FI30" s="335"/>
      <c r="FJ30" s="335"/>
      <c r="FK30" s="335"/>
      <c r="FL30" s="335"/>
      <c r="FM30" s="335"/>
      <c r="FN30" s="335"/>
      <c r="FO30" s="335"/>
      <c r="FP30" s="335"/>
      <c r="FQ30" s="335"/>
      <c r="FR30" s="335"/>
      <c r="FS30" s="335"/>
      <c r="FT30" s="335"/>
      <c r="FU30" s="335"/>
      <c r="FV30" s="335"/>
      <c r="FW30" s="335"/>
      <c r="FX30" s="335"/>
      <c r="FY30" s="335"/>
      <c r="FZ30" s="335"/>
      <c r="GA30" s="335"/>
      <c r="GB30" s="335"/>
      <c r="GC30" s="335"/>
      <c r="GD30" s="335"/>
      <c r="GE30" s="335"/>
      <c r="GF30" s="335"/>
      <c r="GG30" s="335"/>
      <c r="GH30" s="335"/>
      <c r="GI30" s="335"/>
      <c r="GJ30" s="335"/>
      <c r="GK30" s="335"/>
      <c r="GL30" s="335"/>
      <c r="GM30" s="335"/>
      <c r="GN30" s="335"/>
      <c r="GO30" s="335"/>
      <c r="GP30" s="335"/>
      <c r="GQ30" s="335"/>
      <c r="GR30" s="335"/>
      <c r="GS30" s="335"/>
      <c r="GT30" s="335"/>
      <c r="GU30" s="335"/>
      <c r="GV30" s="335"/>
      <c r="GW30" s="335"/>
      <c r="GX30" s="335"/>
      <c r="GY30" s="335"/>
      <c r="GZ30" s="335"/>
      <c r="HA30" s="335"/>
      <c r="HB30" s="335"/>
      <c r="HC30" s="335"/>
      <c r="HD30" s="335"/>
      <c r="HE30" s="335"/>
      <c r="HF30" s="335"/>
      <c r="HG30" s="335"/>
      <c r="HH30" s="335"/>
      <c r="HI30" s="335"/>
      <c r="HJ30" s="335"/>
      <c r="HK30" s="335"/>
      <c r="HL30" s="335"/>
      <c r="HM30" s="335"/>
      <c r="HN30" s="335"/>
      <c r="HO30" s="335"/>
      <c r="HP30" s="335"/>
      <c r="HQ30" s="335"/>
      <c r="HR30" s="335"/>
      <c r="HS30" s="335"/>
      <c r="HT30" s="335"/>
      <c r="HU30" s="335"/>
      <c r="HV30" s="335"/>
      <c r="HW30" s="335"/>
      <c r="HX30" s="335"/>
      <c r="HY30" s="335"/>
      <c r="HZ30" s="335"/>
      <c r="IA30" s="335"/>
      <c r="IB30" s="335"/>
      <c r="IC30" s="335"/>
      <c r="ID30" s="335"/>
      <c r="IE30" s="335"/>
      <c r="IF30" s="335"/>
      <c r="IG30" s="335"/>
      <c r="IH30" s="335"/>
      <c r="II30" s="335"/>
      <c r="IJ30" s="335"/>
      <c r="IK30" s="335"/>
      <c r="IL30" s="335"/>
      <c r="IM30" s="335"/>
      <c r="IN30" s="335"/>
      <c r="IO30" s="335"/>
      <c r="IP30" s="335"/>
      <c r="IQ30" s="335"/>
      <c r="IR30" s="335"/>
      <c r="IS30" s="335"/>
    </row>
    <row r="31" spans="1:253" s="672" customFormat="1" ht="29.1" customHeight="1">
      <c r="A31" s="667" t="s">
        <v>250</v>
      </c>
      <c r="B31" s="668" t="s">
        <v>436</v>
      </c>
      <c r="C31" s="669">
        <v>2024</v>
      </c>
      <c r="D31" s="670">
        <v>1000000</v>
      </c>
      <c r="E31" s="671" t="s">
        <v>421</v>
      </c>
      <c r="F31" s="670">
        <f t="shared" si="0"/>
        <v>1000000</v>
      </c>
      <c r="G31" s="670">
        <v>1000000</v>
      </c>
      <c r="H31" s="670">
        <v>0</v>
      </c>
      <c r="I31" s="668" t="s">
        <v>428</v>
      </c>
    </row>
    <row r="32" spans="1:253" ht="15" customHeight="1">
      <c r="A32" s="330" t="s">
        <v>250</v>
      </c>
      <c r="B32" s="331" t="s">
        <v>437</v>
      </c>
      <c r="C32" s="332">
        <v>2024</v>
      </c>
      <c r="D32" s="333">
        <v>1000000</v>
      </c>
      <c r="E32" s="334" t="s">
        <v>421</v>
      </c>
      <c r="F32" s="333">
        <f t="shared" si="0"/>
        <v>1000000</v>
      </c>
      <c r="G32" s="333">
        <v>1000000</v>
      </c>
      <c r="H32" s="333">
        <v>0</v>
      </c>
      <c r="I32" s="331" t="s">
        <v>428</v>
      </c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335"/>
      <c r="CH32" s="335"/>
      <c r="CI32" s="335"/>
      <c r="CJ32" s="335"/>
      <c r="CK32" s="335"/>
      <c r="CL32" s="335"/>
      <c r="CM32" s="335"/>
      <c r="CN32" s="335"/>
      <c r="CO32" s="335"/>
      <c r="CP32" s="335"/>
      <c r="CQ32" s="335"/>
      <c r="CR32" s="335"/>
      <c r="CS32" s="335"/>
      <c r="CT32" s="335"/>
      <c r="CU32" s="335"/>
      <c r="CV32" s="335"/>
      <c r="CW32" s="335"/>
      <c r="CX32" s="335"/>
      <c r="CY32" s="335"/>
      <c r="CZ32" s="335"/>
      <c r="DA32" s="335"/>
      <c r="DB32" s="335"/>
      <c r="DC32" s="335"/>
      <c r="DD32" s="335"/>
      <c r="DE32" s="335"/>
      <c r="DF32" s="335"/>
      <c r="DG32" s="335"/>
      <c r="DH32" s="335"/>
      <c r="DI32" s="335"/>
      <c r="DJ32" s="335"/>
      <c r="DK32" s="335"/>
      <c r="DL32" s="335"/>
      <c r="DM32" s="335"/>
      <c r="DN32" s="335"/>
      <c r="DO32" s="335"/>
      <c r="DP32" s="335"/>
      <c r="DQ32" s="335"/>
      <c r="DR32" s="335"/>
      <c r="DS32" s="335"/>
      <c r="DT32" s="335"/>
      <c r="DU32" s="335"/>
      <c r="DV32" s="335"/>
      <c r="DW32" s="335"/>
      <c r="DX32" s="335"/>
      <c r="DY32" s="335"/>
      <c r="DZ32" s="335"/>
      <c r="EA32" s="335"/>
      <c r="EB32" s="335"/>
      <c r="EC32" s="335"/>
      <c r="ED32" s="335"/>
      <c r="EE32" s="335"/>
      <c r="EF32" s="335"/>
      <c r="EG32" s="335"/>
      <c r="EH32" s="335"/>
      <c r="EI32" s="335"/>
      <c r="EJ32" s="335"/>
      <c r="EK32" s="335"/>
      <c r="EL32" s="335"/>
      <c r="EM32" s="335"/>
      <c r="EN32" s="335"/>
      <c r="EO32" s="335"/>
      <c r="EP32" s="335"/>
      <c r="EQ32" s="335"/>
      <c r="ER32" s="335"/>
      <c r="ES32" s="335"/>
      <c r="ET32" s="335"/>
      <c r="EU32" s="335"/>
      <c r="EV32" s="335"/>
      <c r="EW32" s="335"/>
      <c r="EX32" s="335"/>
      <c r="EY32" s="335"/>
      <c r="EZ32" s="335"/>
      <c r="FA32" s="335"/>
      <c r="FB32" s="335"/>
      <c r="FC32" s="335"/>
      <c r="FD32" s="335"/>
      <c r="FE32" s="335"/>
      <c r="FF32" s="335"/>
      <c r="FG32" s="335"/>
      <c r="FH32" s="335"/>
      <c r="FI32" s="335"/>
      <c r="FJ32" s="335"/>
      <c r="FK32" s="335"/>
      <c r="FL32" s="335"/>
      <c r="FM32" s="335"/>
      <c r="FN32" s="335"/>
      <c r="FO32" s="335"/>
      <c r="FP32" s="335"/>
      <c r="FQ32" s="335"/>
      <c r="FR32" s="335"/>
      <c r="FS32" s="335"/>
      <c r="FT32" s="335"/>
      <c r="FU32" s="335"/>
      <c r="FV32" s="335"/>
      <c r="FW32" s="335"/>
      <c r="FX32" s="335"/>
      <c r="FY32" s="335"/>
      <c r="FZ32" s="335"/>
      <c r="GA32" s="335"/>
      <c r="GB32" s="335"/>
      <c r="GC32" s="335"/>
      <c r="GD32" s="335"/>
      <c r="GE32" s="335"/>
      <c r="GF32" s="335"/>
      <c r="GG32" s="335"/>
      <c r="GH32" s="335"/>
      <c r="GI32" s="335"/>
      <c r="GJ32" s="335"/>
      <c r="GK32" s="335"/>
      <c r="GL32" s="335"/>
      <c r="GM32" s="335"/>
      <c r="GN32" s="335"/>
      <c r="GO32" s="335"/>
      <c r="GP32" s="335"/>
      <c r="GQ32" s="335"/>
      <c r="GR32" s="335"/>
      <c r="GS32" s="335"/>
      <c r="GT32" s="335"/>
      <c r="GU32" s="335"/>
      <c r="GV32" s="335"/>
      <c r="GW32" s="335"/>
      <c r="GX32" s="335"/>
      <c r="GY32" s="335"/>
      <c r="GZ32" s="335"/>
      <c r="HA32" s="335"/>
      <c r="HB32" s="335"/>
      <c r="HC32" s="335"/>
      <c r="HD32" s="335"/>
      <c r="HE32" s="335"/>
      <c r="HF32" s="335"/>
      <c r="HG32" s="335"/>
      <c r="HH32" s="335"/>
      <c r="HI32" s="335"/>
      <c r="HJ32" s="335"/>
      <c r="HK32" s="335"/>
      <c r="HL32" s="335"/>
      <c r="HM32" s="335"/>
      <c r="HN32" s="335"/>
      <c r="HO32" s="335"/>
      <c r="HP32" s="335"/>
      <c r="HQ32" s="335"/>
      <c r="HR32" s="335"/>
      <c r="HS32" s="335"/>
      <c r="HT32" s="335"/>
      <c r="HU32" s="335"/>
      <c r="HV32" s="335"/>
      <c r="HW32" s="335"/>
      <c r="HX32" s="335"/>
      <c r="HY32" s="335"/>
      <c r="HZ32" s="335"/>
      <c r="IA32" s="335"/>
      <c r="IB32" s="335"/>
      <c r="IC32" s="335"/>
      <c r="ID32" s="335"/>
      <c r="IE32" s="335"/>
      <c r="IF32" s="335"/>
      <c r="IG32" s="335"/>
      <c r="IH32" s="335"/>
      <c r="II32" s="335"/>
      <c r="IJ32" s="335"/>
      <c r="IK32" s="335"/>
      <c r="IL32" s="335"/>
      <c r="IM32" s="335"/>
      <c r="IN32" s="335"/>
      <c r="IO32" s="335"/>
      <c r="IP32" s="335"/>
      <c r="IQ32" s="335"/>
      <c r="IR32" s="335"/>
      <c r="IS32" s="335"/>
    </row>
    <row r="33" spans="1:253" ht="15" customHeight="1">
      <c r="A33" s="324" t="s">
        <v>29</v>
      </c>
      <c r="B33" s="325" t="s">
        <v>30</v>
      </c>
      <c r="C33" s="326" t="s">
        <v>421</v>
      </c>
      <c r="D33" s="327">
        <f>D34+D35+D36</f>
        <v>2420000</v>
      </c>
      <c r="E33" s="328" t="s">
        <v>421</v>
      </c>
      <c r="F33" s="327">
        <f>F34+F35+F36</f>
        <v>2420000</v>
      </c>
      <c r="G33" s="327">
        <f>G34+G35+G36</f>
        <v>2420000</v>
      </c>
      <c r="H33" s="327">
        <f>H34+H35+H36</f>
        <v>0</v>
      </c>
      <c r="I33" s="326" t="s">
        <v>421</v>
      </c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29"/>
      <c r="CB33" s="329"/>
      <c r="CC33" s="329"/>
      <c r="CD33" s="329"/>
      <c r="CE33" s="329"/>
      <c r="CF33" s="329"/>
      <c r="CG33" s="329"/>
      <c r="CH33" s="329"/>
      <c r="CI33" s="329"/>
      <c r="CJ33" s="329"/>
      <c r="CK33" s="329"/>
      <c r="CL33" s="329"/>
      <c r="CM33" s="329"/>
      <c r="CN33" s="329"/>
      <c r="CO33" s="329"/>
      <c r="CP33" s="329"/>
      <c r="CQ33" s="329"/>
      <c r="CR33" s="329"/>
      <c r="CS33" s="329"/>
      <c r="CT33" s="329"/>
      <c r="CU33" s="329"/>
      <c r="CV33" s="329"/>
      <c r="CW33" s="329"/>
      <c r="CX33" s="329"/>
      <c r="CY33" s="329"/>
      <c r="CZ33" s="329"/>
      <c r="DA33" s="329"/>
      <c r="DB33" s="329"/>
      <c r="DC33" s="329"/>
      <c r="DD33" s="329"/>
      <c r="DE33" s="329"/>
      <c r="DF33" s="329"/>
      <c r="DG33" s="329"/>
      <c r="DH33" s="329"/>
      <c r="DI33" s="329"/>
      <c r="DJ33" s="329"/>
      <c r="DK33" s="329"/>
      <c r="DL33" s="329"/>
      <c r="DM33" s="329"/>
      <c r="DN33" s="329"/>
      <c r="DO33" s="329"/>
      <c r="DP33" s="329"/>
      <c r="DQ33" s="329"/>
      <c r="DR33" s="329"/>
      <c r="DS33" s="329"/>
      <c r="DT33" s="329"/>
      <c r="DU33" s="329"/>
      <c r="DV33" s="329"/>
      <c r="DW33" s="329"/>
      <c r="DX33" s="329"/>
      <c r="DY33" s="329"/>
      <c r="DZ33" s="329"/>
      <c r="EA33" s="329"/>
      <c r="EB33" s="329"/>
      <c r="EC33" s="329"/>
      <c r="ED33" s="329"/>
      <c r="EE33" s="329"/>
      <c r="EF33" s="329"/>
      <c r="EG33" s="329"/>
      <c r="EH33" s="329"/>
      <c r="EI33" s="329"/>
      <c r="EJ33" s="329"/>
      <c r="EK33" s="329"/>
      <c r="EL33" s="329"/>
      <c r="EM33" s="329"/>
      <c r="EN33" s="329"/>
      <c r="EO33" s="329"/>
      <c r="EP33" s="329"/>
      <c r="EQ33" s="329"/>
      <c r="ER33" s="329"/>
      <c r="ES33" s="329"/>
      <c r="ET33" s="329"/>
      <c r="EU33" s="329"/>
      <c r="EV33" s="329"/>
      <c r="EW33" s="329"/>
      <c r="EX33" s="329"/>
      <c r="EY33" s="329"/>
      <c r="EZ33" s="329"/>
      <c r="FA33" s="329"/>
      <c r="FB33" s="329"/>
      <c r="FC33" s="329"/>
      <c r="FD33" s="329"/>
      <c r="FE33" s="329"/>
      <c r="FF33" s="329"/>
      <c r="FG33" s="329"/>
      <c r="FH33" s="329"/>
      <c r="FI33" s="329"/>
      <c r="FJ33" s="329"/>
      <c r="FK33" s="329"/>
      <c r="FL33" s="329"/>
      <c r="FM33" s="329"/>
      <c r="FN33" s="329"/>
      <c r="FO33" s="329"/>
      <c r="FP33" s="329"/>
      <c r="FQ33" s="329"/>
      <c r="FR33" s="329"/>
      <c r="FS33" s="329"/>
      <c r="FT33" s="329"/>
      <c r="FU33" s="329"/>
      <c r="FV33" s="329"/>
      <c r="FW33" s="329"/>
      <c r="FX33" s="329"/>
      <c r="FY33" s="329"/>
      <c r="FZ33" s="329"/>
      <c r="GA33" s="329"/>
      <c r="GB33" s="329"/>
      <c r="GC33" s="329"/>
      <c r="GD33" s="329"/>
      <c r="GE33" s="329"/>
      <c r="GF33" s="329"/>
      <c r="GG33" s="329"/>
      <c r="GH33" s="329"/>
      <c r="GI33" s="329"/>
      <c r="GJ33" s="329"/>
      <c r="GK33" s="329"/>
      <c r="GL33" s="329"/>
      <c r="GM33" s="329"/>
      <c r="GN33" s="329"/>
      <c r="GO33" s="329"/>
      <c r="GP33" s="329"/>
      <c r="GQ33" s="329"/>
      <c r="GR33" s="329"/>
      <c r="GS33" s="329"/>
      <c r="GT33" s="329"/>
      <c r="GU33" s="329"/>
      <c r="GV33" s="329"/>
      <c r="GW33" s="329"/>
      <c r="GX33" s="329"/>
      <c r="GY33" s="329"/>
      <c r="GZ33" s="329"/>
      <c r="HA33" s="329"/>
      <c r="HB33" s="329"/>
      <c r="HC33" s="329"/>
      <c r="HD33" s="329"/>
      <c r="HE33" s="329"/>
      <c r="HF33" s="329"/>
      <c r="HG33" s="329"/>
      <c r="HH33" s="329"/>
      <c r="HI33" s="329"/>
      <c r="HJ33" s="329"/>
      <c r="HK33" s="329"/>
      <c r="HL33" s="329"/>
      <c r="HM33" s="329"/>
      <c r="HN33" s="329"/>
      <c r="HO33" s="329"/>
      <c r="HP33" s="329"/>
      <c r="HQ33" s="329"/>
      <c r="HR33" s="329"/>
      <c r="HS33" s="329"/>
      <c r="HT33" s="329"/>
      <c r="HU33" s="329"/>
      <c r="HV33" s="329"/>
      <c r="HW33" s="329"/>
      <c r="HX33" s="329"/>
      <c r="HY33" s="329"/>
      <c r="HZ33" s="329"/>
      <c r="IA33" s="329"/>
      <c r="IB33" s="329"/>
      <c r="IC33" s="329"/>
      <c r="ID33" s="329"/>
      <c r="IE33" s="329"/>
      <c r="IF33" s="329"/>
      <c r="IG33" s="329"/>
      <c r="IH33" s="329"/>
      <c r="II33" s="329"/>
      <c r="IJ33" s="329"/>
      <c r="IK33" s="329"/>
      <c r="IL33" s="329"/>
      <c r="IM33" s="329"/>
      <c r="IN33" s="329"/>
      <c r="IO33" s="329"/>
      <c r="IP33" s="329"/>
      <c r="IQ33" s="329"/>
      <c r="IR33" s="329"/>
      <c r="IS33" s="329"/>
    </row>
    <row r="34" spans="1:253" ht="15" customHeight="1">
      <c r="A34" s="330" t="s">
        <v>351</v>
      </c>
      <c r="B34" s="331" t="s">
        <v>435</v>
      </c>
      <c r="C34" s="332">
        <v>2024</v>
      </c>
      <c r="D34" s="333">
        <v>920000</v>
      </c>
      <c r="E34" s="334" t="s">
        <v>421</v>
      </c>
      <c r="F34" s="333">
        <f>G34+H34</f>
        <v>920000</v>
      </c>
      <c r="G34" s="333">
        <v>920000</v>
      </c>
      <c r="H34" s="333">
        <v>0</v>
      </c>
      <c r="I34" s="331" t="s">
        <v>424</v>
      </c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335"/>
      <c r="CF34" s="335"/>
      <c r="CG34" s="335"/>
      <c r="CH34" s="335"/>
      <c r="CI34" s="335"/>
      <c r="CJ34" s="335"/>
      <c r="CK34" s="335"/>
      <c r="CL34" s="335"/>
      <c r="CM34" s="335"/>
      <c r="CN34" s="335"/>
      <c r="CO34" s="335"/>
      <c r="CP34" s="335"/>
      <c r="CQ34" s="335"/>
      <c r="CR34" s="335"/>
      <c r="CS34" s="335"/>
      <c r="CT34" s="335"/>
      <c r="CU34" s="335"/>
      <c r="CV34" s="335"/>
      <c r="CW34" s="335"/>
      <c r="CX34" s="335"/>
      <c r="CY34" s="335"/>
      <c r="CZ34" s="335"/>
      <c r="DA34" s="335"/>
      <c r="DB34" s="335"/>
      <c r="DC34" s="335"/>
      <c r="DD34" s="335"/>
      <c r="DE34" s="335"/>
      <c r="DF34" s="335"/>
      <c r="DG34" s="335"/>
      <c r="DH34" s="335"/>
      <c r="DI34" s="335"/>
      <c r="DJ34" s="335"/>
      <c r="DK34" s="335"/>
      <c r="DL34" s="335"/>
      <c r="DM34" s="335"/>
      <c r="DN34" s="335"/>
      <c r="DO34" s="335"/>
      <c r="DP34" s="335"/>
      <c r="DQ34" s="335"/>
      <c r="DR34" s="335"/>
      <c r="DS34" s="335"/>
      <c r="DT34" s="335"/>
      <c r="DU34" s="335"/>
      <c r="DV34" s="335"/>
      <c r="DW34" s="335"/>
      <c r="DX34" s="335"/>
      <c r="DY34" s="335"/>
      <c r="DZ34" s="335"/>
      <c r="EA34" s="335"/>
      <c r="EB34" s="335"/>
      <c r="EC34" s="335"/>
      <c r="ED34" s="335"/>
      <c r="EE34" s="335"/>
      <c r="EF34" s="335"/>
      <c r="EG34" s="335"/>
      <c r="EH34" s="335"/>
      <c r="EI34" s="335"/>
      <c r="EJ34" s="335"/>
      <c r="EK34" s="335"/>
      <c r="EL34" s="335"/>
      <c r="EM34" s="335"/>
      <c r="EN34" s="335"/>
      <c r="EO34" s="335"/>
      <c r="EP34" s="335"/>
      <c r="EQ34" s="335"/>
      <c r="ER34" s="335"/>
      <c r="ES34" s="335"/>
      <c r="ET34" s="335"/>
      <c r="EU34" s="335"/>
      <c r="EV34" s="335"/>
      <c r="EW34" s="335"/>
      <c r="EX34" s="335"/>
      <c r="EY34" s="335"/>
      <c r="EZ34" s="335"/>
      <c r="FA34" s="335"/>
      <c r="FB34" s="335"/>
      <c r="FC34" s="335"/>
      <c r="FD34" s="335"/>
      <c r="FE34" s="335"/>
      <c r="FF34" s="335"/>
      <c r="FG34" s="335"/>
      <c r="FH34" s="335"/>
      <c r="FI34" s="335"/>
      <c r="FJ34" s="335"/>
      <c r="FK34" s="335"/>
      <c r="FL34" s="335"/>
      <c r="FM34" s="335"/>
      <c r="FN34" s="335"/>
      <c r="FO34" s="335"/>
      <c r="FP34" s="335"/>
      <c r="FQ34" s="335"/>
      <c r="FR34" s="335"/>
      <c r="FS34" s="335"/>
      <c r="FT34" s="335"/>
      <c r="FU34" s="335"/>
      <c r="FV34" s="335"/>
      <c r="FW34" s="335"/>
      <c r="FX34" s="335"/>
      <c r="FY34" s="335"/>
      <c r="FZ34" s="335"/>
      <c r="GA34" s="335"/>
      <c r="GB34" s="335"/>
      <c r="GC34" s="335"/>
      <c r="GD34" s="335"/>
      <c r="GE34" s="335"/>
      <c r="GF34" s="335"/>
      <c r="GG34" s="335"/>
      <c r="GH34" s="335"/>
      <c r="GI34" s="335"/>
      <c r="GJ34" s="335"/>
      <c r="GK34" s="335"/>
      <c r="GL34" s="335"/>
      <c r="GM34" s="335"/>
      <c r="GN34" s="335"/>
      <c r="GO34" s="335"/>
      <c r="GP34" s="335"/>
      <c r="GQ34" s="335"/>
      <c r="GR34" s="335"/>
      <c r="GS34" s="335"/>
      <c r="GT34" s="335"/>
      <c r="GU34" s="335"/>
      <c r="GV34" s="335"/>
      <c r="GW34" s="335"/>
      <c r="GX34" s="335"/>
      <c r="GY34" s="335"/>
      <c r="GZ34" s="335"/>
      <c r="HA34" s="335"/>
      <c r="HB34" s="335"/>
      <c r="HC34" s="335"/>
      <c r="HD34" s="335"/>
      <c r="HE34" s="335"/>
      <c r="HF34" s="335"/>
      <c r="HG34" s="335"/>
      <c r="HH34" s="335"/>
      <c r="HI34" s="335"/>
      <c r="HJ34" s="335"/>
      <c r="HK34" s="335"/>
      <c r="HL34" s="335"/>
      <c r="HM34" s="335"/>
      <c r="HN34" s="335"/>
      <c r="HO34" s="335"/>
      <c r="HP34" s="335"/>
      <c r="HQ34" s="335"/>
      <c r="HR34" s="335"/>
      <c r="HS34" s="335"/>
      <c r="HT34" s="335"/>
      <c r="HU34" s="335"/>
      <c r="HV34" s="335"/>
      <c r="HW34" s="335"/>
      <c r="HX34" s="335"/>
      <c r="HY34" s="335"/>
      <c r="HZ34" s="335"/>
      <c r="IA34" s="335"/>
      <c r="IB34" s="335"/>
      <c r="IC34" s="335"/>
      <c r="ID34" s="335"/>
      <c r="IE34" s="335"/>
      <c r="IF34" s="335"/>
      <c r="IG34" s="335"/>
      <c r="IH34" s="335"/>
      <c r="II34" s="335"/>
      <c r="IJ34" s="335"/>
      <c r="IK34" s="335"/>
      <c r="IL34" s="335"/>
      <c r="IM34" s="335"/>
      <c r="IN34" s="335"/>
      <c r="IO34" s="335"/>
      <c r="IP34" s="335"/>
      <c r="IQ34" s="335"/>
      <c r="IR34" s="335"/>
      <c r="IS34" s="335"/>
    </row>
    <row r="35" spans="1:253" ht="15" customHeight="1">
      <c r="A35" s="330" t="s">
        <v>351</v>
      </c>
      <c r="B35" s="331" t="s">
        <v>438</v>
      </c>
      <c r="C35" s="332">
        <v>2024</v>
      </c>
      <c r="D35" s="333">
        <v>500000</v>
      </c>
      <c r="E35" s="334" t="s">
        <v>421</v>
      </c>
      <c r="F35" s="333">
        <f>G35+H35</f>
        <v>500000</v>
      </c>
      <c r="G35" s="333">
        <v>500000</v>
      </c>
      <c r="H35" s="333">
        <v>0</v>
      </c>
      <c r="I35" s="331" t="s">
        <v>424</v>
      </c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335"/>
      <c r="BM35" s="335"/>
      <c r="BN35" s="335"/>
      <c r="BO35" s="335"/>
      <c r="BP35" s="335"/>
      <c r="BQ35" s="335"/>
      <c r="BR35" s="335"/>
      <c r="BS35" s="335"/>
      <c r="BT35" s="335"/>
      <c r="BU35" s="335"/>
      <c r="BV35" s="335"/>
      <c r="BW35" s="335"/>
      <c r="BX35" s="335"/>
      <c r="BY35" s="335"/>
      <c r="BZ35" s="335"/>
      <c r="CA35" s="335"/>
      <c r="CB35" s="335"/>
      <c r="CC35" s="335"/>
      <c r="CD35" s="335"/>
      <c r="CE35" s="335"/>
      <c r="CF35" s="335"/>
      <c r="CG35" s="335"/>
      <c r="CH35" s="335"/>
      <c r="CI35" s="335"/>
      <c r="CJ35" s="335"/>
      <c r="CK35" s="335"/>
      <c r="CL35" s="335"/>
      <c r="CM35" s="335"/>
      <c r="CN35" s="335"/>
      <c r="CO35" s="335"/>
      <c r="CP35" s="335"/>
      <c r="CQ35" s="335"/>
      <c r="CR35" s="335"/>
      <c r="CS35" s="335"/>
      <c r="CT35" s="335"/>
      <c r="CU35" s="335"/>
      <c r="CV35" s="335"/>
      <c r="CW35" s="335"/>
      <c r="CX35" s="335"/>
      <c r="CY35" s="335"/>
      <c r="CZ35" s="335"/>
      <c r="DA35" s="335"/>
      <c r="DB35" s="335"/>
      <c r="DC35" s="335"/>
      <c r="DD35" s="335"/>
      <c r="DE35" s="335"/>
      <c r="DF35" s="335"/>
      <c r="DG35" s="335"/>
      <c r="DH35" s="335"/>
      <c r="DI35" s="335"/>
      <c r="DJ35" s="335"/>
      <c r="DK35" s="335"/>
      <c r="DL35" s="335"/>
      <c r="DM35" s="335"/>
      <c r="DN35" s="335"/>
      <c r="DO35" s="335"/>
      <c r="DP35" s="335"/>
      <c r="DQ35" s="335"/>
      <c r="DR35" s="335"/>
      <c r="DS35" s="335"/>
      <c r="DT35" s="335"/>
      <c r="DU35" s="335"/>
      <c r="DV35" s="335"/>
      <c r="DW35" s="335"/>
      <c r="DX35" s="335"/>
      <c r="DY35" s="335"/>
      <c r="DZ35" s="335"/>
      <c r="EA35" s="335"/>
      <c r="EB35" s="335"/>
      <c r="EC35" s="335"/>
      <c r="ED35" s="335"/>
      <c r="EE35" s="335"/>
      <c r="EF35" s="335"/>
      <c r="EG35" s="335"/>
      <c r="EH35" s="335"/>
      <c r="EI35" s="335"/>
      <c r="EJ35" s="335"/>
      <c r="EK35" s="335"/>
      <c r="EL35" s="335"/>
      <c r="EM35" s="335"/>
      <c r="EN35" s="335"/>
      <c r="EO35" s="335"/>
      <c r="EP35" s="335"/>
      <c r="EQ35" s="335"/>
      <c r="ER35" s="335"/>
      <c r="ES35" s="335"/>
      <c r="ET35" s="335"/>
      <c r="EU35" s="335"/>
      <c r="EV35" s="335"/>
      <c r="EW35" s="335"/>
      <c r="EX35" s="335"/>
      <c r="EY35" s="335"/>
      <c r="EZ35" s="335"/>
      <c r="FA35" s="335"/>
      <c r="FB35" s="335"/>
      <c r="FC35" s="335"/>
      <c r="FD35" s="335"/>
      <c r="FE35" s="335"/>
      <c r="FF35" s="335"/>
      <c r="FG35" s="335"/>
      <c r="FH35" s="335"/>
      <c r="FI35" s="335"/>
      <c r="FJ35" s="335"/>
      <c r="FK35" s="335"/>
      <c r="FL35" s="335"/>
      <c r="FM35" s="335"/>
      <c r="FN35" s="335"/>
      <c r="FO35" s="335"/>
      <c r="FP35" s="335"/>
      <c r="FQ35" s="335"/>
      <c r="FR35" s="335"/>
      <c r="FS35" s="335"/>
      <c r="FT35" s="335"/>
      <c r="FU35" s="335"/>
      <c r="FV35" s="335"/>
      <c r="FW35" s="335"/>
      <c r="FX35" s="335"/>
      <c r="FY35" s="335"/>
      <c r="FZ35" s="335"/>
      <c r="GA35" s="335"/>
      <c r="GB35" s="335"/>
      <c r="GC35" s="335"/>
      <c r="GD35" s="335"/>
      <c r="GE35" s="335"/>
      <c r="GF35" s="335"/>
      <c r="GG35" s="335"/>
      <c r="GH35" s="335"/>
      <c r="GI35" s="335"/>
      <c r="GJ35" s="335"/>
      <c r="GK35" s="335"/>
      <c r="GL35" s="335"/>
      <c r="GM35" s="335"/>
      <c r="GN35" s="335"/>
      <c r="GO35" s="335"/>
      <c r="GP35" s="335"/>
      <c r="GQ35" s="335"/>
      <c r="GR35" s="335"/>
      <c r="GS35" s="335"/>
      <c r="GT35" s="335"/>
      <c r="GU35" s="335"/>
      <c r="GV35" s="335"/>
      <c r="GW35" s="335"/>
      <c r="GX35" s="335"/>
      <c r="GY35" s="335"/>
      <c r="GZ35" s="335"/>
      <c r="HA35" s="335"/>
      <c r="HB35" s="335"/>
      <c r="HC35" s="335"/>
      <c r="HD35" s="335"/>
      <c r="HE35" s="335"/>
      <c r="HF35" s="335"/>
      <c r="HG35" s="335"/>
      <c r="HH35" s="335"/>
      <c r="HI35" s="335"/>
      <c r="HJ35" s="335"/>
      <c r="HK35" s="335"/>
      <c r="HL35" s="335"/>
      <c r="HM35" s="335"/>
      <c r="HN35" s="335"/>
      <c r="HO35" s="335"/>
      <c r="HP35" s="335"/>
      <c r="HQ35" s="335"/>
      <c r="HR35" s="335"/>
      <c r="HS35" s="335"/>
      <c r="HT35" s="335"/>
      <c r="HU35" s="335"/>
      <c r="HV35" s="335"/>
      <c r="HW35" s="335"/>
      <c r="HX35" s="335"/>
      <c r="HY35" s="335"/>
      <c r="HZ35" s="335"/>
      <c r="IA35" s="335"/>
      <c r="IB35" s="335"/>
      <c r="IC35" s="335"/>
      <c r="ID35" s="335"/>
      <c r="IE35" s="335"/>
      <c r="IF35" s="335"/>
      <c r="IG35" s="335"/>
      <c r="IH35" s="335"/>
      <c r="II35" s="335"/>
      <c r="IJ35" s="335"/>
      <c r="IK35" s="335"/>
      <c r="IL35" s="335"/>
      <c r="IM35" s="335"/>
      <c r="IN35" s="335"/>
      <c r="IO35" s="335"/>
      <c r="IP35" s="335"/>
      <c r="IQ35" s="335"/>
      <c r="IR35" s="335"/>
      <c r="IS35" s="335"/>
    </row>
    <row r="36" spans="1:253" ht="15" customHeight="1">
      <c r="A36" s="330" t="s">
        <v>351</v>
      </c>
      <c r="B36" s="331" t="s">
        <v>439</v>
      </c>
      <c r="C36" s="332">
        <v>2024</v>
      </c>
      <c r="D36" s="333">
        <v>1000000</v>
      </c>
      <c r="E36" s="334" t="s">
        <v>421</v>
      </c>
      <c r="F36" s="333">
        <f>G36+H36</f>
        <v>1000000</v>
      </c>
      <c r="G36" s="333">
        <v>1000000</v>
      </c>
      <c r="H36" s="333">
        <v>0</v>
      </c>
      <c r="I36" s="331" t="s">
        <v>428</v>
      </c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/>
      <c r="CA36" s="335"/>
      <c r="CB36" s="335"/>
      <c r="CC36" s="335"/>
      <c r="CD36" s="335"/>
      <c r="CE36" s="335"/>
      <c r="CF36" s="335"/>
      <c r="CG36" s="335"/>
      <c r="CH36" s="335"/>
      <c r="CI36" s="335"/>
      <c r="CJ36" s="335"/>
      <c r="CK36" s="335"/>
      <c r="CL36" s="335"/>
      <c r="CM36" s="335"/>
      <c r="CN36" s="335"/>
      <c r="CO36" s="335"/>
      <c r="CP36" s="335"/>
      <c r="CQ36" s="335"/>
      <c r="CR36" s="335"/>
      <c r="CS36" s="335"/>
      <c r="CT36" s="335"/>
      <c r="CU36" s="335"/>
      <c r="CV36" s="335"/>
      <c r="CW36" s="335"/>
      <c r="CX36" s="335"/>
      <c r="CY36" s="335"/>
      <c r="CZ36" s="335"/>
      <c r="DA36" s="335"/>
      <c r="DB36" s="335"/>
      <c r="DC36" s="335"/>
      <c r="DD36" s="335"/>
      <c r="DE36" s="335"/>
      <c r="DF36" s="335"/>
      <c r="DG36" s="335"/>
      <c r="DH36" s="335"/>
      <c r="DI36" s="335"/>
      <c r="DJ36" s="335"/>
      <c r="DK36" s="335"/>
      <c r="DL36" s="335"/>
      <c r="DM36" s="335"/>
      <c r="DN36" s="335"/>
      <c r="DO36" s="335"/>
      <c r="DP36" s="335"/>
      <c r="DQ36" s="335"/>
      <c r="DR36" s="335"/>
      <c r="DS36" s="335"/>
      <c r="DT36" s="335"/>
      <c r="DU36" s="335"/>
      <c r="DV36" s="335"/>
      <c r="DW36" s="335"/>
      <c r="DX36" s="335"/>
      <c r="DY36" s="335"/>
      <c r="DZ36" s="335"/>
      <c r="EA36" s="335"/>
      <c r="EB36" s="335"/>
      <c r="EC36" s="335"/>
      <c r="ED36" s="335"/>
      <c r="EE36" s="335"/>
      <c r="EF36" s="335"/>
      <c r="EG36" s="335"/>
      <c r="EH36" s="335"/>
      <c r="EI36" s="335"/>
      <c r="EJ36" s="335"/>
      <c r="EK36" s="335"/>
      <c r="EL36" s="335"/>
      <c r="EM36" s="335"/>
      <c r="EN36" s="335"/>
      <c r="EO36" s="335"/>
      <c r="EP36" s="335"/>
      <c r="EQ36" s="335"/>
      <c r="ER36" s="335"/>
      <c r="ES36" s="335"/>
      <c r="ET36" s="335"/>
      <c r="EU36" s="335"/>
      <c r="EV36" s="335"/>
      <c r="EW36" s="335"/>
      <c r="EX36" s="335"/>
      <c r="EY36" s="335"/>
      <c r="EZ36" s="335"/>
      <c r="FA36" s="335"/>
      <c r="FB36" s="335"/>
      <c r="FC36" s="335"/>
      <c r="FD36" s="335"/>
      <c r="FE36" s="335"/>
      <c r="FF36" s="335"/>
      <c r="FG36" s="335"/>
      <c r="FH36" s="335"/>
      <c r="FI36" s="335"/>
      <c r="FJ36" s="335"/>
      <c r="FK36" s="335"/>
      <c r="FL36" s="335"/>
      <c r="FM36" s="335"/>
      <c r="FN36" s="335"/>
      <c r="FO36" s="335"/>
      <c r="FP36" s="335"/>
      <c r="FQ36" s="335"/>
      <c r="FR36" s="335"/>
      <c r="FS36" s="335"/>
      <c r="FT36" s="335"/>
      <c r="FU36" s="335"/>
      <c r="FV36" s="335"/>
      <c r="FW36" s="335"/>
      <c r="FX36" s="335"/>
      <c r="FY36" s="335"/>
      <c r="FZ36" s="335"/>
      <c r="GA36" s="335"/>
      <c r="GB36" s="335"/>
      <c r="GC36" s="335"/>
      <c r="GD36" s="335"/>
      <c r="GE36" s="335"/>
      <c r="GF36" s="335"/>
      <c r="GG36" s="335"/>
      <c r="GH36" s="335"/>
      <c r="GI36" s="335"/>
      <c r="GJ36" s="335"/>
      <c r="GK36" s="335"/>
      <c r="GL36" s="335"/>
      <c r="GM36" s="335"/>
      <c r="GN36" s="335"/>
      <c r="GO36" s="335"/>
      <c r="GP36" s="335"/>
      <c r="GQ36" s="335"/>
      <c r="GR36" s="335"/>
      <c r="GS36" s="335"/>
      <c r="GT36" s="335"/>
      <c r="GU36" s="335"/>
      <c r="GV36" s="335"/>
      <c r="GW36" s="335"/>
      <c r="GX36" s="335"/>
      <c r="GY36" s="335"/>
      <c r="GZ36" s="335"/>
      <c r="HA36" s="335"/>
      <c r="HB36" s="335"/>
      <c r="HC36" s="335"/>
      <c r="HD36" s="335"/>
      <c r="HE36" s="335"/>
      <c r="HF36" s="335"/>
      <c r="HG36" s="335"/>
      <c r="HH36" s="335"/>
      <c r="HI36" s="335"/>
      <c r="HJ36" s="335"/>
      <c r="HK36" s="335"/>
      <c r="HL36" s="335"/>
      <c r="HM36" s="335"/>
      <c r="HN36" s="335"/>
      <c r="HO36" s="335"/>
      <c r="HP36" s="335"/>
      <c r="HQ36" s="335"/>
      <c r="HR36" s="335"/>
      <c r="HS36" s="335"/>
      <c r="HT36" s="335"/>
      <c r="HU36" s="335"/>
      <c r="HV36" s="335"/>
      <c r="HW36" s="335"/>
      <c r="HX36" s="335"/>
      <c r="HY36" s="335"/>
      <c r="HZ36" s="335"/>
      <c r="IA36" s="335"/>
      <c r="IB36" s="335"/>
      <c r="IC36" s="335"/>
      <c r="ID36" s="335"/>
      <c r="IE36" s="335"/>
      <c r="IF36" s="335"/>
      <c r="IG36" s="335"/>
      <c r="IH36" s="335"/>
      <c r="II36" s="335"/>
      <c r="IJ36" s="335"/>
      <c r="IK36" s="335"/>
      <c r="IL36" s="335"/>
      <c r="IM36" s="335"/>
      <c r="IN36" s="335"/>
      <c r="IO36" s="335"/>
      <c r="IP36" s="335"/>
      <c r="IQ36" s="335"/>
      <c r="IR36" s="335"/>
      <c r="IS36" s="335"/>
    </row>
    <row r="37" spans="1:253" ht="15" customHeight="1">
      <c r="A37" s="324" t="s">
        <v>33</v>
      </c>
      <c r="B37" s="325" t="s">
        <v>34</v>
      </c>
      <c r="C37" s="326" t="s">
        <v>421</v>
      </c>
      <c r="D37" s="327">
        <f>D38+D39</f>
        <v>55000</v>
      </c>
      <c r="E37" s="328" t="s">
        <v>421</v>
      </c>
      <c r="F37" s="327">
        <f>F38+F39</f>
        <v>55000</v>
      </c>
      <c r="G37" s="327">
        <f>G38+G39</f>
        <v>55000</v>
      </c>
      <c r="H37" s="327">
        <f>H38+H39</f>
        <v>0</v>
      </c>
      <c r="I37" s="326" t="s">
        <v>421</v>
      </c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29"/>
      <c r="BR37" s="329"/>
      <c r="BS37" s="329"/>
      <c r="BT37" s="329"/>
      <c r="BU37" s="329"/>
      <c r="BV37" s="329"/>
      <c r="BW37" s="329"/>
      <c r="BX37" s="329"/>
      <c r="BY37" s="329"/>
      <c r="BZ37" s="329"/>
      <c r="CA37" s="329"/>
      <c r="CB37" s="329"/>
      <c r="CC37" s="329"/>
      <c r="CD37" s="329"/>
      <c r="CE37" s="329"/>
      <c r="CF37" s="329"/>
      <c r="CG37" s="329"/>
      <c r="CH37" s="329"/>
      <c r="CI37" s="329"/>
      <c r="CJ37" s="329"/>
      <c r="CK37" s="329"/>
      <c r="CL37" s="329"/>
      <c r="CM37" s="329"/>
      <c r="CN37" s="329"/>
      <c r="CO37" s="329"/>
      <c r="CP37" s="329"/>
      <c r="CQ37" s="329"/>
      <c r="CR37" s="329"/>
      <c r="CS37" s="329"/>
      <c r="CT37" s="329"/>
      <c r="CU37" s="329"/>
      <c r="CV37" s="329"/>
      <c r="CW37" s="329"/>
      <c r="CX37" s="329"/>
      <c r="CY37" s="329"/>
      <c r="CZ37" s="329"/>
      <c r="DA37" s="329"/>
      <c r="DB37" s="329"/>
      <c r="DC37" s="329"/>
      <c r="DD37" s="329"/>
      <c r="DE37" s="329"/>
      <c r="DF37" s="329"/>
      <c r="DG37" s="329"/>
      <c r="DH37" s="329"/>
      <c r="DI37" s="329"/>
      <c r="DJ37" s="329"/>
      <c r="DK37" s="329"/>
      <c r="DL37" s="329"/>
      <c r="DM37" s="329"/>
      <c r="DN37" s="329"/>
      <c r="DO37" s="329"/>
      <c r="DP37" s="329"/>
      <c r="DQ37" s="329"/>
      <c r="DR37" s="329"/>
      <c r="DS37" s="329"/>
      <c r="DT37" s="329"/>
      <c r="DU37" s="329"/>
      <c r="DV37" s="329"/>
      <c r="DW37" s="329"/>
      <c r="DX37" s="329"/>
      <c r="DY37" s="329"/>
      <c r="DZ37" s="329"/>
      <c r="EA37" s="329"/>
      <c r="EB37" s="329"/>
      <c r="EC37" s="329"/>
      <c r="ED37" s="329"/>
      <c r="EE37" s="329"/>
      <c r="EF37" s="329"/>
      <c r="EG37" s="329"/>
      <c r="EH37" s="329"/>
      <c r="EI37" s="329"/>
      <c r="EJ37" s="329"/>
      <c r="EK37" s="329"/>
      <c r="EL37" s="329"/>
      <c r="EM37" s="329"/>
      <c r="EN37" s="329"/>
      <c r="EO37" s="329"/>
      <c r="EP37" s="329"/>
      <c r="EQ37" s="329"/>
      <c r="ER37" s="329"/>
      <c r="ES37" s="329"/>
      <c r="ET37" s="329"/>
      <c r="EU37" s="329"/>
      <c r="EV37" s="329"/>
      <c r="EW37" s="329"/>
      <c r="EX37" s="329"/>
      <c r="EY37" s="329"/>
      <c r="EZ37" s="329"/>
      <c r="FA37" s="329"/>
      <c r="FB37" s="329"/>
      <c r="FC37" s="329"/>
      <c r="FD37" s="329"/>
      <c r="FE37" s="329"/>
      <c r="FF37" s="329"/>
      <c r="FG37" s="329"/>
      <c r="FH37" s="329"/>
      <c r="FI37" s="329"/>
      <c r="FJ37" s="329"/>
      <c r="FK37" s="329"/>
      <c r="FL37" s="329"/>
      <c r="FM37" s="329"/>
      <c r="FN37" s="329"/>
      <c r="FO37" s="329"/>
      <c r="FP37" s="329"/>
      <c r="FQ37" s="329"/>
      <c r="FR37" s="329"/>
      <c r="FS37" s="329"/>
      <c r="FT37" s="329"/>
      <c r="FU37" s="329"/>
      <c r="FV37" s="329"/>
      <c r="FW37" s="329"/>
      <c r="FX37" s="329"/>
      <c r="FY37" s="329"/>
      <c r="FZ37" s="329"/>
      <c r="GA37" s="329"/>
      <c r="GB37" s="329"/>
      <c r="GC37" s="329"/>
      <c r="GD37" s="329"/>
      <c r="GE37" s="329"/>
      <c r="GF37" s="329"/>
      <c r="GG37" s="329"/>
      <c r="GH37" s="329"/>
      <c r="GI37" s="329"/>
      <c r="GJ37" s="329"/>
      <c r="GK37" s="329"/>
      <c r="GL37" s="329"/>
      <c r="GM37" s="329"/>
      <c r="GN37" s="329"/>
      <c r="GO37" s="329"/>
      <c r="GP37" s="329"/>
      <c r="GQ37" s="329"/>
      <c r="GR37" s="329"/>
      <c r="GS37" s="329"/>
      <c r="GT37" s="329"/>
      <c r="GU37" s="329"/>
      <c r="GV37" s="329"/>
      <c r="GW37" s="329"/>
      <c r="GX37" s="329"/>
      <c r="GY37" s="329"/>
      <c r="GZ37" s="329"/>
      <c r="HA37" s="329"/>
      <c r="HB37" s="329"/>
      <c r="HC37" s="329"/>
      <c r="HD37" s="329"/>
      <c r="HE37" s="329"/>
      <c r="HF37" s="329"/>
      <c r="HG37" s="329"/>
      <c r="HH37" s="329"/>
      <c r="HI37" s="329"/>
      <c r="HJ37" s="329"/>
      <c r="HK37" s="329"/>
      <c r="HL37" s="329"/>
      <c r="HM37" s="329"/>
      <c r="HN37" s="329"/>
      <c r="HO37" s="329"/>
      <c r="HP37" s="329"/>
      <c r="HQ37" s="329"/>
      <c r="HR37" s="329"/>
      <c r="HS37" s="329"/>
      <c r="HT37" s="329"/>
      <c r="HU37" s="329"/>
      <c r="HV37" s="329"/>
      <c r="HW37" s="329"/>
      <c r="HX37" s="329"/>
      <c r="HY37" s="329"/>
      <c r="HZ37" s="329"/>
      <c r="IA37" s="329"/>
      <c r="IB37" s="329"/>
      <c r="IC37" s="329"/>
      <c r="ID37" s="329"/>
      <c r="IE37" s="329"/>
      <c r="IF37" s="329"/>
      <c r="IG37" s="329"/>
      <c r="IH37" s="329"/>
      <c r="II37" s="329"/>
      <c r="IJ37" s="329"/>
      <c r="IK37" s="329"/>
      <c r="IL37" s="329"/>
      <c r="IM37" s="329"/>
      <c r="IN37" s="329"/>
      <c r="IO37" s="329"/>
      <c r="IP37" s="329"/>
      <c r="IQ37" s="329"/>
      <c r="IR37" s="329"/>
      <c r="IS37" s="329"/>
    </row>
    <row r="38" spans="1:253" s="672" customFormat="1" ht="29.1" customHeight="1">
      <c r="A38" s="667" t="s">
        <v>382</v>
      </c>
      <c r="B38" s="668" t="s">
        <v>440</v>
      </c>
      <c r="C38" s="669">
        <v>2024</v>
      </c>
      <c r="D38" s="670">
        <v>43000</v>
      </c>
      <c r="E38" s="671" t="s">
        <v>421</v>
      </c>
      <c r="F38" s="670">
        <f>G38+H38</f>
        <v>43000</v>
      </c>
      <c r="G38" s="670">
        <v>43000</v>
      </c>
      <c r="H38" s="670"/>
      <c r="I38" s="668" t="s">
        <v>441</v>
      </c>
    </row>
    <row r="39" spans="1:253" s="672" customFormat="1" ht="42" customHeight="1">
      <c r="A39" s="667" t="s">
        <v>383</v>
      </c>
      <c r="B39" s="668" t="s">
        <v>435</v>
      </c>
      <c r="C39" s="669">
        <v>2024</v>
      </c>
      <c r="D39" s="670">
        <v>12000</v>
      </c>
      <c r="E39" s="671" t="s">
        <v>421</v>
      </c>
      <c r="F39" s="670">
        <f>G39+H39</f>
        <v>12000</v>
      </c>
      <c r="G39" s="670">
        <v>12000</v>
      </c>
      <c r="H39" s="670">
        <v>0</v>
      </c>
      <c r="I39" s="668" t="s">
        <v>442</v>
      </c>
    </row>
    <row r="40" spans="1:253" ht="15" customHeight="1">
      <c r="A40" s="324" t="s">
        <v>35</v>
      </c>
      <c r="B40" s="325" t="s">
        <v>36</v>
      </c>
      <c r="C40" s="326" t="s">
        <v>421</v>
      </c>
      <c r="D40" s="327">
        <f>D41+D42+D43</f>
        <v>6745000</v>
      </c>
      <c r="E40" s="328" t="s">
        <v>421</v>
      </c>
      <c r="F40" s="327">
        <f>F41+F42+F43</f>
        <v>6745000</v>
      </c>
      <c r="G40" s="327">
        <f>G41+G42+G43</f>
        <v>6745000</v>
      </c>
      <c r="H40" s="327">
        <f>H41+H42+H43</f>
        <v>0</v>
      </c>
      <c r="I40" s="326" t="s">
        <v>421</v>
      </c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  <c r="CN40" s="329"/>
      <c r="CO40" s="329"/>
      <c r="CP40" s="329"/>
      <c r="CQ40" s="329"/>
      <c r="CR40" s="329"/>
      <c r="CS40" s="329"/>
      <c r="CT40" s="329"/>
      <c r="CU40" s="329"/>
      <c r="CV40" s="329"/>
      <c r="CW40" s="329"/>
      <c r="CX40" s="329"/>
      <c r="CY40" s="329"/>
      <c r="CZ40" s="329"/>
      <c r="DA40" s="329"/>
      <c r="DB40" s="329"/>
      <c r="DC40" s="329"/>
      <c r="DD40" s="329"/>
      <c r="DE40" s="329"/>
      <c r="DF40" s="329"/>
      <c r="DG40" s="329"/>
      <c r="DH40" s="329"/>
      <c r="DI40" s="329"/>
      <c r="DJ40" s="329"/>
      <c r="DK40" s="329"/>
      <c r="DL40" s="329"/>
      <c r="DM40" s="329"/>
      <c r="DN40" s="329"/>
      <c r="DO40" s="329"/>
      <c r="DP40" s="329"/>
      <c r="DQ40" s="329"/>
      <c r="DR40" s="329"/>
      <c r="DS40" s="329"/>
      <c r="DT40" s="329"/>
      <c r="DU40" s="329"/>
      <c r="DV40" s="329"/>
      <c r="DW40" s="329"/>
      <c r="DX40" s="329"/>
      <c r="DY40" s="329"/>
      <c r="DZ40" s="329"/>
      <c r="EA40" s="329"/>
      <c r="EB40" s="329"/>
      <c r="EC40" s="329"/>
      <c r="ED40" s="329"/>
      <c r="EE40" s="329"/>
      <c r="EF40" s="329"/>
      <c r="EG40" s="329"/>
      <c r="EH40" s="329"/>
      <c r="EI40" s="329"/>
      <c r="EJ40" s="329"/>
      <c r="EK40" s="329"/>
      <c r="EL40" s="329"/>
      <c r="EM40" s="329"/>
      <c r="EN40" s="329"/>
      <c r="EO40" s="329"/>
      <c r="EP40" s="329"/>
      <c r="EQ40" s="329"/>
      <c r="ER40" s="329"/>
      <c r="ES40" s="329"/>
      <c r="ET40" s="329"/>
      <c r="EU40" s="329"/>
      <c r="EV40" s="329"/>
      <c r="EW40" s="329"/>
      <c r="EX40" s="329"/>
      <c r="EY40" s="329"/>
      <c r="EZ40" s="329"/>
      <c r="FA40" s="329"/>
      <c r="FB40" s="329"/>
      <c r="FC40" s="329"/>
      <c r="FD40" s="329"/>
      <c r="FE40" s="329"/>
      <c r="FF40" s="329"/>
      <c r="FG40" s="329"/>
      <c r="FH40" s="329"/>
      <c r="FI40" s="329"/>
      <c r="FJ40" s="329"/>
      <c r="FK40" s="329"/>
      <c r="FL40" s="329"/>
      <c r="FM40" s="329"/>
      <c r="FN40" s="329"/>
      <c r="FO40" s="329"/>
      <c r="FP40" s="329"/>
      <c r="FQ40" s="329"/>
      <c r="FR40" s="329"/>
      <c r="FS40" s="329"/>
      <c r="FT40" s="329"/>
      <c r="FU40" s="329"/>
      <c r="FV40" s="329"/>
      <c r="FW40" s="329"/>
      <c r="FX40" s="329"/>
      <c r="FY40" s="329"/>
      <c r="FZ40" s="329"/>
      <c r="GA40" s="329"/>
      <c r="GB40" s="329"/>
      <c r="GC40" s="329"/>
      <c r="GD40" s="329"/>
      <c r="GE40" s="329"/>
      <c r="GF40" s="329"/>
      <c r="GG40" s="329"/>
      <c r="GH40" s="329"/>
      <c r="GI40" s="329"/>
      <c r="GJ40" s="329"/>
      <c r="GK40" s="329"/>
      <c r="GL40" s="329"/>
      <c r="GM40" s="329"/>
      <c r="GN40" s="329"/>
      <c r="GO40" s="329"/>
      <c r="GP40" s="329"/>
      <c r="GQ40" s="329"/>
      <c r="GR40" s="329"/>
      <c r="GS40" s="329"/>
      <c r="GT40" s="329"/>
      <c r="GU40" s="329"/>
      <c r="GV40" s="329"/>
      <c r="GW40" s="329"/>
      <c r="GX40" s="329"/>
      <c r="GY40" s="329"/>
      <c r="GZ40" s="329"/>
      <c r="HA40" s="329"/>
      <c r="HB40" s="329"/>
      <c r="HC40" s="329"/>
      <c r="HD40" s="329"/>
      <c r="HE40" s="329"/>
      <c r="HF40" s="329"/>
      <c r="HG40" s="329"/>
      <c r="HH40" s="329"/>
      <c r="HI40" s="329"/>
      <c r="HJ40" s="329"/>
      <c r="HK40" s="329"/>
      <c r="HL40" s="329"/>
      <c r="HM40" s="329"/>
      <c r="HN40" s="329"/>
      <c r="HO40" s="329"/>
      <c r="HP40" s="329"/>
      <c r="HQ40" s="329"/>
      <c r="HR40" s="329"/>
      <c r="HS40" s="329"/>
      <c r="HT40" s="329"/>
      <c r="HU40" s="329"/>
      <c r="HV40" s="329"/>
      <c r="HW40" s="329"/>
      <c r="HX40" s="329"/>
      <c r="HY40" s="329"/>
      <c r="HZ40" s="329"/>
      <c r="IA40" s="329"/>
      <c r="IB40" s="329"/>
      <c r="IC40" s="329"/>
      <c r="ID40" s="329"/>
      <c r="IE40" s="329"/>
      <c r="IF40" s="329"/>
      <c r="IG40" s="329"/>
      <c r="IH40" s="329"/>
      <c r="II40" s="329"/>
      <c r="IJ40" s="329"/>
      <c r="IK40" s="329"/>
      <c r="IL40" s="329"/>
      <c r="IM40" s="329"/>
      <c r="IN40" s="329"/>
      <c r="IO40" s="329"/>
      <c r="IP40" s="329"/>
      <c r="IQ40" s="329"/>
      <c r="IR40" s="329"/>
      <c r="IS40" s="329"/>
    </row>
    <row r="41" spans="1:253" s="672" customFormat="1" ht="29.1" customHeight="1">
      <c r="A41" s="667" t="s">
        <v>443</v>
      </c>
      <c r="B41" s="668" t="s">
        <v>444</v>
      </c>
      <c r="C41" s="669">
        <v>2024</v>
      </c>
      <c r="D41" s="670">
        <v>600000</v>
      </c>
      <c r="E41" s="671" t="s">
        <v>421</v>
      </c>
      <c r="F41" s="670">
        <f>G41+H41</f>
        <v>600000</v>
      </c>
      <c r="G41" s="670">
        <v>600000</v>
      </c>
      <c r="H41" s="670">
        <v>0</v>
      </c>
      <c r="I41" s="668" t="s">
        <v>445</v>
      </c>
    </row>
    <row r="42" spans="1:253" s="672" customFormat="1" ht="29.1" customHeight="1">
      <c r="A42" s="667" t="s">
        <v>443</v>
      </c>
      <c r="B42" s="668" t="s">
        <v>446</v>
      </c>
      <c r="C42" s="669">
        <v>2024</v>
      </c>
      <c r="D42" s="670">
        <v>6000000</v>
      </c>
      <c r="E42" s="671" t="s">
        <v>421</v>
      </c>
      <c r="F42" s="670">
        <f>G42+H42</f>
        <v>6000000</v>
      </c>
      <c r="G42" s="670">
        <v>6000000</v>
      </c>
      <c r="H42" s="670">
        <v>0</v>
      </c>
      <c r="I42" s="668" t="s">
        <v>447</v>
      </c>
    </row>
    <row r="43" spans="1:253" s="672" customFormat="1" ht="29.1" customHeight="1">
      <c r="A43" s="667" t="s">
        <v>448</v>
      </c>
      <c r="B43" s="668" t="s">
        <v>449</v>
      </c>
      <c r="C43" s="669">
        <v>2024</v>
      </c>
      <c r="D43" s="670">
        <v>145000</v>
      </c>
      <c r="E43" s="671" t="s">
        <v>421</v>
      </c>
      <c r="F43" s="670">
        <f>G43+H43</f>
        <v>145000</v>
      </c>
      <c r="G43" s="670">
        <v>145000</v>
      </c>
      <c r="H43" s="670">
        <v>0</v>
      </c>
      <c r="I43" s="668" t="s">
        <v>450</v>
      </c>
    </row>
    <row r="44" spans="1:253" ht="15" customHeight="1">
      <c r="A44" s="324" t="s">
        <v>100</v>
      </c>
      <c r="B44" s="325" t="s">
        <v>83</v>
      </c>
      <c r="C44" s="326" t="s">
        <v>421</v>
      </c>
      <c r="D44" s="327">
        <f>D45+D46</f>
        <v>921270</v>
      </c>
      <c r="E44" s="328" t="s">
        <v>421</v>
      </c>
      <c r="F44" s="327">
        <f>F45+F46</f>
        <v>921270</v>
      </c>
      <c r="G44" s="327">
        <f>G45+G46</f>
        <v>921270</v>
      </c>
      <c r="H44" s="327">
        <f>H45+H46</f>
        <v>0</v>
      </c>
      <c r="I44" s="326" t="s">
        <v>421</v>
      </c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329"/>
      <c r="BM44" s="329"/>
      <c r="BN44" s="329"/>
      <c r="BO44" s="329"/>
      <c r="BP44" s="329"/>
      <c r="BQ44" s="329"/>
      <c r="BR44" s="329"/>
      <c r="BS44" s="329"/>
      <c r="BT44" s="329"/>
      <c r="BU44" s="329"/>
      <c r="BV44" s="329"/>
      <c r="BW44" s="329"/>
      <c r="BX44" s="329"/>
      <c r="BY44" s="329"/>
      <c r="BZ44" s="329"/>
      <c r="CA44" s="329"/>
      <c r="CB44" s="329"/>
      <c r="CC44" s="329"/>
      <c r="CD44" s="329"/>
      <c r="CE44" s="329"/>
      <c r="CF44" s="329"/>
      <c r="CG44" s="329"/>
      <c r="CH44" s="329"/>
      <c r="CI44" s="329"/>
      <c r="CJ44" s="329"/>
      <c r="CK44" s="329"/>
      <c r="CL44" s="329"/>
      <c r="CM44" s="329"/>
      <c r="CN44" s="329"/>
      <c r="CO44" s="329"/>
      <c r="CP44" s="329"/>
      <c r="CQ44" s="329"/>
      <c r="CR44" s="329"/>
      <c r="CS44" s="329"/>
      <c r="CT44" s="329"/>
      <c r="CU44" s="329"/>
      <c r="CV44" s="329"/>
      <c r="CW44" s="329"/>
      <c r="CX44" s="329"/>
      <c r="CY44" s="329"/>
      <c r="CZ44" s="329"/>
      <c r="DA44" s="329"/>
      <c r="DB44" s="329"/>
      <c r="DC44" s="329"/>
      <c r="DD44" s="329"/>
      <c r="DE44" s="329"/>
      <c r="DF44" s="329"/>
      <c r="DG44" s="329"/>
      <c r="DH44" s="329"/>
      <c r="DI44" s="329"/>
      <c r="DJ44" s="329"/>
      <c r="DK44" s="329"/>
      <c r="DL44" s="329"/>
      <c r="DM44" s="329"/>
      <c r="DN44" s="329"/>
      <c r="DO44" s="329"/>
      <c r="DP44" s="329"/>
      <c r="DQ44" s="329"/>
      <c r="DR44" s="329"/>
      <c r="DS44" s="329"/>
      <c r="DT44" s="329"/>
      <c r="DU44" s="329"/>
      <c r="DV44" s="329"/>
      <c r="DW44" s="329"/>
      <c r="DX44" s="329"/>
      <c r="DY44" s="329"/>
      <c r="DZ44" s="329"/>
      <c r="EA44" s="329"/>
      <c r="EB44" s="329"/>
      <c r="EC44" s="329"/>
      <c r="ED44" s="329"/>
      <c r="EE44" s="329"/>
      <c r="EF44" s="329"/>
      <c r="EG44" s="329"/>
      <c r="EH44" s="329"/>
      <c r="EI44" s="329"/>
      <c r="EJ44" s="329"/>
      <c r="EK44" s="329"/>
      <c r="EL44" s="329"/>
      <c r="EM44" s="329"/>
      <c r="EN44" s="329"/>
      <c r="EO44" s="329"/>
      <c r="EP44" s="329"/>
      <c r="EQ44" s="329"/>
      <c r="ER44" s="329"/>
      <c r="ES44" s="329"/>
      <c r="ET44" s="329"/>
      <c r="EU44" s="329"/>
      <c r="EV44" s="329"/>
      <c r="EW44" s="329"/>
      <c r="EX44" s="329"/>
      <c r="EY44" s="329"/>
      <c r="EZ44" s="329"/>
      <c r="FA44" s="329"/>
      <c r="FB44" s="329"/>
      <c r="FC44" s="329"/>
      <c r="FD44" s="329"/>
      <c r="FE44" s="329"/>
      <c r="FF44" s="329"/>
      <c r="FG44" s="329"/>
      <c r="FH44" s="329"/>
      <c r="FI44" s="329"/>
      <c r="FJ44" s="329"/>
      <c r="FK44" s="329"/>
      <c r="FL44" s="329"/>
      <c r="FM44" s="329"/>
      <c r="FN44" s="329"/>
      <c r="FO44" s="329"/>
      <c r="FP44" s="329"/>
      <c r="FQ44" s="329"/>
      <c r="FR44" s="329"/>
      <c r="FS44" s="329"/>
      <c r="FT44" s="329"/>
      <c r="FU44" s="329"/>
      <c r="FV44" s="329"/>
      <c r="FW44" s="329"/>
      <c r="FX44" s="329"/>
      <c r="FY44" s="329"/>
      <c r="FZ44" s="329"/>
      <c r="GA44" s="329"/>
      <c r="GB44" s="329"/>
      <c r="GC44" s="329"/>
      <c r="GD44" s="329"/>
      <c r="GE44" s="329"/>
      <c r="GF44" s="329"/>
      <c r="GG44" s="329"/>
      <c r="GH44" s="329"/>
      <c r="GI44" s="329"/>
      <c r="GJ44" s="329"/>
      <c r="GK44" s="329"/>
      <c r="GL44" s="329"/>
      <c r="GM44" s="329"/>
      <c r="GN44" s="329"/>
      <c r="GO44" s="329"/>
      <c r="GP44" s="329"/>
      <c r="GQ44" s="329"/>
      <c r="GR44" s="329"/>
      <c r="GS44" s="329"/>
      <c r="GT44" s="329"/>
      <c r="GU44" s="329"/>
      <c r="GV44" s="329"/>
      <c r="GW44" s="329"/>
      <c r="GX44" s="329"/>
      <c r="GY44" s="329"/>
      <c r="GZ44" s="329"/>
      <c r="HA44" s="329"/>
      <c r="HB44" s="329"/>
      <c r="HC44" s="329"/>
      <c r="HD44" s="329"/>
      <c r="HE44" s="329"/>
      <c r="HF44" s="329"/>
      <c r="HG44" s="329"/>
      <c r="HH44" s="329"/>
      <c r="HI44" s="329"/>
      <c r="HJ44" s="329"/>
      <c r="HK44" s="329"/>
      <c r="HL44" s="329"/>
      <c r="HM44" s="329"/>
      <c r="HN44" s="329"/>
      <c r="HO44" s="329"/>
      <c r="HP44" s="329"/>
      <c r="HQ44" s="329"/>
      <c r="HR44" s="329"/>
      <c r="HS44" s="329"/>
      <c r="HT44" s="329"/>
      <c r="HU44" s="329"/>
      <c r="HV44" s="329"/>
      <c r="HW44" s="329"/>
      <c r="HX44" s="329"/>
      <c r="HY44" s="329"/>
      <c r="HZ44" s="329"/>
      <c r="IA44" s="329"/>
      <c r="IB44" s="329"/>
      <c r="IC44" s="329"/>
      <c r="ID44" s="329"/>
      <c r="IE44" s="329"/>
      <c r="IF44" s="329"/>
      <c r="IG44" s="329"/>
      <c r="IH44" s="329"/>
      <c r="II44" s="329"/>
      <c r="IJ44" s="329"/>
      <c r="IK44" s="329"/>
      <c r="IL44" s="329"/>
      <c r="IM44" s="329"/>
      <c r="IN44" s="329"/>
      <c r="IO44" s="329"/>
      <c r="IP44" s="329"/>
      <c r="IQ44" s="329"/>
      <c r="IR44" s="329"/>
      <c r="IS44" s="329"/>
    </row>
    <row r="45" spans="1:253" s="672" customFormat="1" ht="29.1" customHeight="1">
      <c r="A45" s="667" t="s">
        <v>451</v>
      </c>
      <c r="B45" s="668" t="s">
        <v>435</v>
      </c>
      <c r="C45" s="669">
        <v>2024</v>
      </c>
      <c r="D45" s="670">
        <v>376270</v>
      </c>
      <c r="E45" s="671" t="s">
        <v>421</v>
      </c>
      <c r="F45" s="670">
        <f>G45+H45</f>
        <v>376270</v>
      </c>
      <c r="G45" s="670">
        <v>376270</v>
      </c>
      <c r="H45" s="670">
        <v>0</v>
      </c>
      <c r="I45" s="668" t="s">
        <v>452</v>
      </c>
    </row>
    <row r="46" spans="1:253" s="672" customFormat="1" ht="29.1" customHeight="1">
      <c r="A46" s="667" t="s">
        <v>451</v>
      </c>
      <c r="B46" s="668" t="s">
        <v>453</v>
      </c>
      <c r="C46" s="669">
        <v>2024</v>
      </c>
      <c r="D46" s="670">
        <v>545000</v>
      </c>
      <c r="E46" s="671" t="s">
        <v>421</v>
      </c>
      <c r="F46" s="670">
        <f>G46+H46</f>
        <v>545000</v>
      </c>
      <c r="G46" s="670">
        <v>545000</v>
      </c>
      <c r="H46" s="670">
        <v>0</v>
      </c>
      <c r="I46" s="668" t="s">
        <v>452</v>
      </c>
    </row>
    <row r="47" spans="1:253" ht="15" customHeight="1">
      <c r="A47" s="324" t="s">
        <v>37</v>
      </c>
      <c r="B47" s="336" t="s">
        <v>42</v>
      </c>
      <c r="C47" s="326" t="s">
        <v>421</v>
      </c>
      <c r="D47" s="327">
        <f>D48+D49</f>
        <v>220000</v>
      </c>
      <c r="E47" s="328" t="s">
        <v>421</v>
      </c>
      <c r="F47" s="327">
        <f>F48+F49</f>
        <v>220000</v>
      </c>
      <c r="G47" s="327">
        <f>G48+G49</f>
        <v>220000</v>
      </c>
      <c r="H47" s="327">
        <f>H48+H49</f>
        <v>0</v>
      </c>
      <c r="I47" s="326" t="s">
        <v>421</v>
      </c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29"/>
      <c r="BY47" s="329"/>
      <c r="BZ47" s="329"/>
      <c r="CA47" s="329"/>
      <c r="CB47" s="329"/>
      <c r="CC47" s="329"/>
      <c r="CD47" s="329"/>
      <c r="CE47" s="329"/>
      <c r="CF47" s="329"/>
      <c r="CG47" s="329"/>
      <c r="CH47" s="329"/>
      <c r="CI47" s="329"/>
      <c r="CJ47" s="329"/>
      <c r="CK47" s="329"/>
      <c r="CL47" s="329"/>
      <c r="CM47" s="329"/>
      <c r="CN47" s="329"/>
      <c r="CO47" s="329"/>
      <c r="CP47" s="329"/>
      <c r="CQ47" s="329"/>
      <c r="CR47" s="329"/>
      <c r="CS47" s="329"/>
      <c r="CT47" s="329"/>
      <c r="CU47" s="329"/>
      <c r="CV47" s="329"/>
      <c r="CW47" s="329"/>
      <c r="CX47" s="329"/>
      <c r="CY47" s="329"/>
      <c r="CZ47" s="329"/>
      <c r="DA47" s="329"/>
      <c r="DB47" s="329"/>
      <c r="DC47" s="329"/>
      <c r="DD47" s="329"/>
      <c r="DE47" s="329"/>
      <c r="DF47" s="329"/>
      <c r="DG47" s="329"/>
      <c r="DH47" s="329"/>
      <c r="DI47" s="329"/>
      <c r="DJ47" s="329"/>
      <c r="DK47" s="329"/>
      <c r="DL47" s="329"/>
      <c r="DM47" s="329"/>
      <c r="DN47" s="329"/>
      <c r="DO47" s="329"/>
      <c r="DP47" s="329"/>
      <c r="DQ47" s="329"/>
      <c r="DR47" s="329"/>
      <c r="DS47" s="329"/>
      <c r="DT47" s="329"/>
      <c r="DU47" s="329"/>
      <c r="DV47" s="329"/>
      <c r="DW47" s="329"/>
      <c r="DX47" s="329"/>
      <c r="DY47" s="329"/>
      <c r="DZ47" s="329"/>
      <c r="EA47" s="329"/>
      <c r="EB47" s="329"/>
      <c r="EC47" s="329"/>
      <c r="ED47" s="329"/>
      <c r="EE47" s="329"/>
      <c r="EF47" s="329"/>
      <c r="EG47" s="329"/>
      <c r="EH47" s="329"/>
      <c r="EI47" s="329"/>
      <c r="EJ47" s="329"/>
      <c r="EK47" s="329"/>
      <c r="EL47" s="329"/>
      <c r="EM47" s="329"/>
      <c r="EN47" s="329"/>
      <c r="EO47" s="329"/>
      <c r="EP47" s="329"/>
      <c r="EQ47" s="329"/>
      <c r="ER47" s="329"/>
      <c r="ES47" s="329"/>
      <c r="ET47" s="329"/>
      <c r="EU47" s="329"/>
      <c r="EV47" s="329"/>
      <c r="EW47" s="329"/>
      <c r="EX47" s="329"/>
      <c r="EY47" s="329"/>
      <c r="EZ47" s="329"/>
      <c r="FA47" s="329"/>
      <c r="FB47" s="329"/>
      <c r="FC47" s="329"/>
      <c r="FD47" s="329"/>
      <c r="FE47" s="329"/>
      <c r="FF47" s="329"/>
      <c r="FG47" s="329"/>
      <c r="FH47" s="329"/>
      <c r="FI47" s="329"/>
      <c r="FJ47" s="329"/>
      <c r="FK47" s="329"/>
      <c r="FL47" s="329"/>
      <c r="FM47" s="329"/>
      <c r="FN47" s="329"/>
      <c r="FO47" s="329"/>
      <c r="FP47" s="329"/>
      <c r="FQ47" s="329"/>
      <c r="FR47" s="329"/>
      <c r="FS47" s="329"/>
      <c r="FT47" s="329"/>
      <c r="FU47" s="329"/>
      <c r="FV47" s="329"/>
      <c r="FW47" s="329"/>
      <c r="FX47" s="329"/>
      <c r="FY47" s="329"/>
      <c r="FZ47" s="329"/>
      <c r="GA47" s="329"/>
      <c r="GB47" s="329"/>
      <c r="GC47" s="329"/>
      <c r="GD47" s="329"/>
      <c r="GE47" s="329"/>
      <c r="GF47" s="329"/>
      <c r="GG47" s="329"/>
      <c r="GH47" s="329"/>
      <c r="GI47" s="329"/>
      <c r="GJ47" s="329"/>
      <c r="GK47" s="329"/>
      <c r="GL47" s="329"/>
      <c r="GM47" s="329"/>
      <c r="GN47" s="329"/>
      <c r="GO47" s="329"/>
      <c r="GP47" s="329"/>
      <c r="GQ47" s="329"/>
      <c r="GR47" s="329"/>
      <c r="GS47" s="329"/>
      <c r="GT47" s="329"/>
      <c r="GU47" s="329"/>
      <c r="GV47" s="329"/>
      <c r="GW47" s="329"/>
      <c r="GX47" s="329"/>
      <c r="GY47" s="329"/>
      <c r="GZ47" s="329"/>
      <c r="HA47" s="329"/>
      <c r="HB47" s="329"/>
      <c r="HC47" s="329"/>
      <c r="HD47" s="329"/>
      <c r="HE47" s="329"/>
      <c r="HF47" s="329"/>
      <c r="HG47" s="329"/>
      <c r="HH47" s="329"/>
      <c r="HI47" s="329"/>
      <c r="HJ47" s="329"/>
      <c r="HK47" s="329"/>
      <c r="HL47" s="329"/>
      <c r="HM47" s="329"/>
      <c r="HN47" s="329"/>
      <c r="HO47" s="329"/>
      <c r="HP47" s="329"/>
      <c r="HQ47" s="329"/>
      <c r="HR47" s="329"/>
      <c r="HS47" s="329"/>
      <c r="HT47" s="329"/>
      <c r="HU47" s="329"/>
      <c r="HV47" s="329"/>
      <c r="HW47" s="329"/>
      <c r="HX47" s="329"/>
      <c r="HY47" s="329"/>
      <c r="HZ47" s="329"/>
      <c r="IA47" s="329"/>
      <c r="IB47" s="329"/>
      <c r="IC47" s="329"/>
      <c r="ID47" s="329"/>
      <c r="IE47" s="329"/>
      <c r="IF47" s="329"/>
      <c r="IG47" s="329"/>
      <c r="IH47" s="329"/>
      <c r="II47" s="329"/>
      <c r="IJ47" s="329"/>
      <c r="IK47" s="329"/>
      <c r="IL47" s="329"/>
      <c r="IM47" s="329"/>
      <c r="IN47" s="329"/>
      <c r="IO47" s="329"/>
      <c r="IP47" s="329"/>
      <c r="IQ47" s="329"/>
      <c r="IR47" s="329"/>
      <c r="IS47" s="329"/>
    </row>
    <row r="48" spans="1:253" ht="15" customHeight="1">
      <c r="A48" s="330" t="s">
        <v>454</v>
      </c>
      <c r="B48" s="331" t="s">
        <v>455</v>
      </c>
      <c r="C48" s="332">
        <v>2024</v>
      </c>
      <c r="D48" s="333">
        <v>105000</v>
      </c>
      <c r="E48" s="334" t="s">
        <v>421</v>
      </c>
      <c r="F48" s="333">
        <f>G48+H48</f>
        <v>105000</v>
      </c>
      <c r="G48" s="333">
        <v>105000</v>
      </c>
      <c r="H48" s="333">
        <v>0</v>
      </c>
      <c r="I48" s="331" t="s">
        <v>456</v>
      </c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5"/>
      <c r="CS48" s="335"/>
      <c r="CT48" s="335"/>
      <c r="CU48" s="335"/>
      <c r="CV48" s="335"/>
      <c r="CW48" s="335"/>
      <c r="CX48" s="335"/>
      <c r="CY48" s="335"/>
      <c r="CZ48" s="335"/>
      <c r="DA48" s="335"/>
      <c r="DB48" s="335"/>
      <c r="DC48" s="335"/>
      <c r="DD48" s="335"/>
      <c r="DE48" s="335"/>
      <c r="DF48" s="335"/>
      <c r="DG48" s="335"/>
      <c r="DH48" s="335"/>
      <c r="DI48" s="335"/>
      <c r="DJ48" s="335"/>
      <c r="DK48" s="335"/>
      <c r="DL48" s="335"/>
      <c r="DM48" s="335"/>
      <c r="DN48" s="335"/>
      <c r="DO48" s="335"/>
      <c r="DP48" s="335"/>
      <c r="DQ48" s="335"/>
      <c r="DR48" s="335"/>
      <c r="DS48" s="335"/>
      <c r="DT48" s="335"/>
      <c r="DU48" s="335"/>
      <c r="DV48" s="335"/>
      <c r="DW48" s="335"/>
      <c r="DX48" s="335"/>
      <c r="DY48" s="335"/>
      <c r="DZ48" s="335"/>
      <c r="EA48" s="335"/>
      <c r="EB48" s="335"/>
      <c r="EC48" s="335"/>
      <c r="ED48" s="335"/>
      <c r="EE48" s="335"/>
      <c r="EF48" s="335"/>
      <c r="EG48" s="335"/>
      <c r="EH48" s="335"/>
      <c r="EI48" s="335"/>
      <c r="EJ48" s="335"/>
      <c r="EK48" s="335"/>
      <c r="EL48" s="335"/>
      <c r="EM48" s="335"/>
      <c r="EN48" s="335"/>
      <c r="EO48" s="335"/>
      <c r="EP48" s="335"/>
      <c r="EQ48" s="335"/>
      <c r="ER48" s="335"/>
      <c r="ES48" s="335"/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35"/>
      <c r="FE48" s="335"/>
      <c r="FF48" s="335"/>
      <c r="FG48" s="335"/>
      <c r="FH48" s="335"/>
      <c r="FI48" s="335"/>
      <c r="FJ48" s="335"/>
      <c r="FK48" s="335"/>
      <c r="FL48" s="335"/>
      <c r="FM48" s="335"/>
      <c r="FN48" s="335"/>
      <c r="FO48" s="335"/>
      <c r="FP48" s="335"/>
      <c r="FQ48" s="335"/>
      <c r="FR48" s="335"/>
      <c r="FS48" s="335"/>
      <c r="FT48" s="335"/>
      <c r="FU48" s="335"/>
      <c r="FV48" s="335"/>
      <c r="FW48" s="335"/>
      <c r="FX48" s="335"/>
      <c r="FY48" s="335"/>
      <c r="FZ48" s="335"/>
      <c r="GA48" s="335"/>
      <c r="GB48" s="335"/>
      <c r="GC48" s="335"/>
      <c r="GD48" s="335"/>
      <c r="GE48" s="335"/>
      <c r="GF48" s="335"/>
      <c r="GG48" s="335"/>
      <c r="GH48" s="335"/>
      <c r="GI48" s="335"/>
      <c r="GJ48" s="335"/>
      <c r="GK48" s="335"/>
      <c r="GL48" s="335"/>
      <c r="GM48" s="335"/>
      <c r="GN48" s="335"/>
      <c r="GO48" s="335"/>
      <c r="GP48" s="335"/>
      <c r="GQ48" s="335"/>
      <c r="GR48" s="335"/>
      <c r="GS48" s="335"/>
      <c r="GT48" s="335"/>
      <c r="GU48" s="335"/>
      <c r="GV48" s="335"/>
      <c r="GW48" s="335"/>
      <c r="GX48" s="335"/>
      <c r="GY48" s="335"/>
      <c r="GZ48" s="335"/>
      <c r="HA48" s="335"/>
      <c r="HB48" s="335"/>
      <c r="HC48" s="335"/>
      <c r="HD48" s="335"/>
      <c r="HE48" s="335"/>
      <c r="HF48" s="335"/>
      <c r="HG48" s="335"/>
      <c r="HH48" s="335"/>
      <c r="HI48" s="335"/>
      <c r="HJ48" s="335"/>
      <c r="HK48" s="335"/>
      <c r="HL48" s="335"/>
      <c r="HM48" s="335"/>
      <c r="HN48" s="335"/>
      <c r="HO48" s="335"/>
      <c r="HP48" s="335"/>
      <c r="HQ48" s="335"/>
      <c r="HR48" s="335"/>
      <c r="HS48" s="335"/>
      <c r="HT48" s="335"/>
      <c r="HU48" s="335"/>
      <c r="HV48" s="335"/>
      <c r="HW48" s="335"/>
      <c r="HX48" s="335"/>
      <c r="HY48" s="335"/>
      <c r="HZ48" s="335"/>
      <c r="IA48" s="335"/>
      <c r="IB48" s="335"/>
      <c r="IC48" s="335"/>
      <c r="ID48" s="335"/>
      <c r="IE48" s="335"/>
      <c r="IF48" s="335"/>
      <c r="IG48" s="335"/>
      <c r="IH48" s="335"/>
      <c r="II48" s="335"/>
      <c r="IJ48" s="335"/>
      <c r="IK48" s="335"/>
      <c r="IL48" s="335"/>
      <c r="IM48" s="335"/>
      <c r="IN48" s="335"/>
      <c r="IO48" s="335"/>
      <c r="IP48" s="335"/>
      <c r="IQ48" s="335"/>
      <c r="IR48" s="335"/>
      <c r="IS48" s="335"/>
    </row>
    <row r="49" spans="1:253" ht="15" customHeight="1">
      <c r="A49" s="330" t="s">
        <v>454</v>
      </c>
      <c r="B49" s="331" t="s">
        <v>457</v>
      </c>
      <c r="C49" s="332">
        <v>2024</v>
      </c>
      <c r="D49" s="333">
        <v>115000</v>
      </c>
      <c r="E49" s="334" t="s">
        <v>421</v>
      </c>
      <c r="F49" s="333">
        <f>G49+H49</f>
        <v>115000</v>
      </c>
      <c r="G49" s="333">
        <v>115000</v>
      </c>
      <c r="H49" s="333">
        <v>0</v>
      </c>
      <c r="I49" s="331" t="s">
        <v>456</v>
      </c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335"/>
      <c r="BW49" s="335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5"/>
      <c r="CJ49" s="335"/>
      <c r="CK49" s="335"/>
      <c r="CL49" s="335"/>
      <c r="CM49" s="335"/>
      <c r="CN49" s="335"/>
      <c r="CO49" s="335"/>
      <c r="CP49" s="335"/>
      <c r="CQ49" s="335"/>
      <c r="CR49" s="335"/>
      <c r="CS49" s="335"/>
      <c r="CT49" s="335"/>
      <c r="CU49" s="335"/>
      <c r="CV49" s="335"/>
      <c r="CW49" s="335"/>
      <c r="CX49" s="335"/>
      <c r="CY49" s="335"/>
      <c r="CZ49" s="335"/>
      <c r="DA49" s="335"/>
      <c r="DB49" s="335"/>
      <c r="DC49" s="335"/>
      <c r="DD49" s="335"/>
      <c r="DE49" s="335"/>
      <c r="DF49" s="335"/>
      <c r="DG49" s="335"/>
      <c r="DH49" s="335"/>
      <c r="DI49" s="335"/>
      <c r="DJ49" s="335"/>
      <c r="DK49" s="335"/>
      <c r="DL49" s="335"/>
      <c r="DM49" s="335"/>
      <c r="DN49" s="335"/>
      <c r="DO49" s="335"/>
      <c r="DP49" s="335"/>
      <c r="DQ49" s="335"/>
      <c r="DR49" s="335"/>
      <c r="DS49" s="335"/>
      <c r="DT49" s="335"/>
      <c r="DU49" s="335"/>
      <c r="DV49" s="335"/>
      <c r="DW49" s="335"/>
      <c r="DX49" s="335"/>
      <c r="DY49" s="335"/>
      <c r="DZ49" s="335"/>
      <c r="EA49" s="335"/>
      <c r="EB49" s="335"/>
      <c r="EC49" s="335"/>
      <c r="ED49" s="335"/>
      <c r="EE49" s="335"/>
      <c r="EF49" s="335"/>
      <c r="EG49" s="335"/>
      <c r="EH49" s="335"/>
      <c r="EI49" s="335"/>
      <c r="EJ49" s="335"/>
      <c r="EK49" s="335"/>
      <c r="EL49" s="335"/>
      <c r="EM49" s="335"/>
      <c r="EN49" s="335"/>
      <c r="EO49" s="335"/>
      <c r="EP49" s="335"/>
      <c r="EQ49" s="335"/>
      <c r="ER49" s="335"/>
      <c r="ES49" s="335"/>
      <c r="ET49" s="335"/>
      <c r="EU49" s="335"/>
      <c r="EV49" s="335"/>
      <c r="EW49" s="335"/>
      <c r="EX49" s="335"/>
      <c r="EY49" s="335"/>
      <c r="EZ49" s="335"/>
      <c r="FA49" s="335"/>
      <c r="FB49" s="335"/>
      <c r="FC49" s="335"/>
      <c r="FD49" s="335"/>
      <c r="FE49" s="335"/>
      <c r="FF49" s="335"/>
      <c r="FG49" s="335"/>
      <c r="FH49" s="335"/>
      <c r="FI49" s="335"/>
      <c r="FJ49" s="335"/>
      <c r="FK49" s="335"/>
      <c r="FL49" s="335"/>
      <c r="FM49" s="335"/>
      <c r="FN49" s="335"/>
      <c r="FO49" s="335"/>
      <c r="FP49" s="335"/>
      <c r="FQ49" s="335"/>
      <c r="FR49" s="335"/>
      <c r="FS49" s="335"/>
      <c r="FT49" s="335"/>
      <c r="FU49" s="335"/>
      <c r="FV49" s="335"/>
      <c r="FW49" s="335"/>
      <c r="FX49" s="335"/>
      <c r="FY49" s="335"/>
      <c r="FZ49" s="335"/>
      <c r="GA49" s="335"/>
      <c r="GB49" s="335"/>
      <c r="GC49" s="335"/>
      <c r="GD49" s="335"/>
      <c r="GE49" s="335"/>
      <c r="GF49" s="335"/>
      <c r="GG49" s="335"/>
      <c r="GH49" s="335"/>
      <c r="GI49" s="335"/>
      <c r="GJ49" s="335"/>
      <c r="GK49" s="335"/>
      <c r="GL49" s="335"/>
      <c r="GM49" s="335"/>
      <c r="GN49" s="335"/>
      <c r="GO49" s="335"/>
      <c r="GP49" s="335"/>
      <c r="GQ49" s="335"/>
      <c r="GR49" s="335"/>
      <c r="GS49" s="335"/>
      <c r="GT49" s="335"/>
      <c r="GU49" s="335"/>
      <c r="GV49" s="335"/>
      <c r="GW49" s="335"/>
      <c r="GX49" s="335"/>
      <c r="GY49" s="335"/>
      <c r="GZ49" s="335"/>
      <c r="HA49" s="335"/>
      <c r="HB49" s="335"/>
      <c r="HC49" s="335"/>
      <c r="HD49" s="335"/>
      <c r="HE49" s="335"/>
      <c r="HF49" s="335"/>
      <c r="HG49" s="335"/>
      <c r="HH49" s="335"/>
      <c r="HI49" s="335"/>
      <c r="HJ49" s="335"/>
      <c r="HK49" s="335"/>
      <c r="HL49" s="335"/>
      <c r="HM49" s="335"/>
      <c r="HN49" s="335"/>
      <c r="HO49" s="335"/>
      <c r="HP49" s="335"/>
      <c r="HQ49" s="335"/>
      <c r="HR49" s="335"/>
      <c r="HS49" s="335"/>
      <c r="HT49" s="335"/>
      <c r="HU49" s="335"/>
      <c r="HV49" s="335"/>
      <c r="HW49" s="335"/>
      <c r="HX49" s="335"/>
      <c r="HY49" s="335"/>
      <c r="HZ49" s="335"/>
      <c r="IA49" s="335"/>
      <c r="IB49" s="335"/>
      <c r="IC49" s="335"/>
      <c r="ID49" s="335"/>
      <c r="IE49" s="335"/>
      <c r="IF49" s="335"/>
      <c r="IG49" s="335"/>
      <c r="IH49" s="335"/>
      <c r="II49" s="335"/>
      <c r="IJ49" s="335"/>
      <c r="IK49" s="335"/>
      <c r="IL49" s="335"/>
      <c r="IM49" s="335"/>
      <c r="IN49" s="335"/>
      <c r="IO49" s="335"/>
      <c r="IP49" s="335"/>
      <c r="IQ49" s="335"/>
      <c r="IR49" s="335"/>
      <c r="IS49" s="335"/>
    </row>
    <row r="50" spans="1:253" ht="15" customHeight="1">
      <c r="A50" s="324" t="s">
        <v>7</v>
      </c>
      <c r="B50" s="325" t="s">
        <v>8</v>
      </c>
      <c r="C50" s="326" t="s">
        <v>421</v>
      </c>
      <c r="D50" s="327">
        <f>D51+D53+D52</f>
        <v>3818500</v>
      </c>
      <c r="E50" s="328" t="s">
        <v>421</v>
      </c>
      <c r="F50" s="327">
        <f>F51+F53+F52</f>
        <v>3818500</v>
      </c>
      <c r="G50" s="327">
        <f>G51+G53+G52</f>
        <v>3818500</v>
      </c>
      <c r="H50" s="327">
        <f>H51+H53+H52</f>
        <v>0</v>
      </c>
      <c r="I50" s="326" t="s">
        <v>421</v>
      </c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  <c r="BQ50" s="329"/>
      <c r="BR50" s="329"/>
      <c r="BS50" s="329"/>
      <c r="BT50" s="329"/>
      <c r="BU50" s="329"/>
      <c r="BV50" s="329"/>
      <c r="BW50" s="329"/>
      <c r="BX50" s="329"/>
      <c r="BY50" s="329"/>
      <c r="BZ50" s="329"/>
      <c r="CA50" s="329"/>
      <c r="CB50" s="329"/>
      <c r="CC50" s="329"/>
      <c r="CD50" s="329"/>
      <c r="CE50" s="329"/>
      <c r="CF50" s="329"/>
      <c r="CG50" s="329"/>
      <c r="CH50" s="329"/>
      <c r="CI50" s="329"/>
      <c r="CJ50" s="329"/>
      <c r="CK50" s="329"/>
      <c r="CL50" s="329"/>
      <c r="CM50" s="329"/>
      <c r="CN50" s="329"/>
      <c r="CO50" s="329"/>
      <c r="CP50" s="329"/>
      <c r="CQ50" s="329"/>
      <c r="CR50" s="329"/>
      <c r="CS50" s="329"/>
      <c r="CT50" s="329"/>
      <c r="CU50" s="329"/>
      <c r="CV50" s="329"/>
      <c r="CW50" s="329"/>
      <c r="CX50" s="329"/>
      <c r="CY50" s="329"/>
      <c r="CZ50" s="329"/>
      <c r="DA50" s="329"/>
      <c r="DB50" s="329"/>
      <c r="DC50" s="329"/>
      <c r="DD50" s="329"/>
      <c r="DE50" s="329"/>
      <c r="DF50" s="329"/>
      <c r="DG50" s="329"/>
      <c r="DH50" s="329"/>
      <c r="DI50" s="329"/>
      <c r="DJ50" s="329"/>
      <c r="DK50" s="329"/>
      <c r="DL50" s="329"/>
      <c r="DM50" s="329"/>
      <c r="DN50" s="329"/>
      <c r="DO50" s="329"/>
      <c r="DP50" s="329"/>
      <c r="DQ50" s="329"/>
      <c r="DR50" s="329"/>
      <c r="DS50" s="329"/>
      <c r="DT50" s="329"/>
      <c r="DU50" s="329"/>
      <c r="DV50" s="329"/>
      <c r="DW50" s="329"/>
      <c r="DX50" s="329"/>
      <c r="DY50" s="329"/>
      <c r="DZ50" s="329"/>
      <c r="EA50" s="329"/>
      <c r="EB50" s="329"/>
      <c r="EC50" s="329"/>
      <c r="ED50" s="329"/>
      <c r="EE50" s="329"/>
      <c r="EF50" s="329"/>
      <c r="EG50" s="329"/>
      <c r="EH50" s="329"/>
      <c r="EI50" s="329"/>
      <c r="EJ50" s="329"/>
      <c r="EK50" s="329"/>
      <c r="EL50" s="329"/>
      <c r="EM50" s="329"/>
      <c r="EN50" s="329"/>
      <c r="EO50" s="329"/>
      <c r="EP50" s="329"/>
      <c r="EQ50" s="329"/>
      <c r="ER50" s="329"/>
      <c r="ES50" s="329"/>
      <c r="ET50" s="329"/>
      <c r="EU50" s="329"/>
      <c r="EV50" s="329"/>
      <c r="EW50" s="329"/>
      <c r="EX50" s="329"/>
      <c r="EY50" s="329"/>
      <c r="EZ50" s="329"/>
      <c r="FA50" s="329"/>
      <c r="FB50" s="329"/>
      <c r="FC50" s="329"/>
      <c r="FD50" s="329"/>
      <c r="FE50" s="329"/>
      <c r="FF50" s="329"/>
      <c r="FG50" s="329"/>
      <c r="FH50" s="329"/>
      <c r="FI50" s="329"/>
      <c r="FJ50" s="329"/>
      <c r="FK50" s="329"/>
      <c r="FL50" s="329"/>
      <c r="FM50" s="329"/>
      <c r="FN50" s="329"/>
      <c r="FO50" s="329"/>
      <c r="FP50" s="329"/>
      <c r="FQ50" s="329"/>
      <c r="FR50" s="329"/>
      <c r="FS50" s="329"/>
      <c r="FT50" s="329"/>
      <c r="FU50" s="329"/>
      <c r="FV50" s="329"/>
      <c r="FW50" s="329"/>
      <c r="FX50" s="329"/>
      <c r="FY50" s="329"/>
      <c r="FZ50" s="329"/>
      <c r="GA50" s="329"/>
      <c r="GB50" s="329"/>
      <c r="GC50" s="329"/>
      <c r="GD50" s="329"/>
      <c r="GE50" s="329"/>
      <c r="GF50" s="329"/>
      <c r="GG50" s="329"/>
      <c r="GH50" s="329"/>
      <c r="GI50" s="329"/>
      <c r="GJ50" s="329"/>
      <c r="GK50" s="329"/>
      <c r="GL50" s="329"/>
      <c r="GM50" s="329"/>
      <c r="GN50" s="329"/>
      <c r="GO50" s="329"/>
      <c r="GP50" s="329"/>
      <c r="GQ50" s="329"/>
      <c r="GR50" s="329"/>
      <c r="GS50" s="329"/>
      <c r="GT50" s="329"/>
      <c r="GU50" s="329"/>
      <c r="GV50" s="329"/>
      <c r="GW50" s="329"/>
      <c r="GX50" s="329"/>
      <c r="GY50" s="329"/>
      <c r="GZ50" s="329"/>
      <c r="HA50" s="329"/>
      <c r="HB50" s="329"/>
      <c r="HC50" s="329"/>
      <c r="HD50" s="329"/>
      <c r="HE50" s="329"/>
      <c r="HF50" s="329"/>
      <c r="HG50" s="329"/>
      <c r="HH50" s="329"/>
      <c r="HI50" s="329"/>
      <c r="HJ50" s="329"/>
      <c r="HK50" s="329"/>
      <c r="HL50" s="329"/>
      <c r="HM50" s="329"/>
      <c r="HN50" s="329"/>
      <c r="HO50" s="329"/>
      <c r="HP50" s="329"/>
      <c r="HQ50" s="329"/>
      <c r="HR50" s="329"/>
      <c r="HS50" s="329"/>
      <c r="HT50" s="329"/>
      <c r="HU50" s="329"/>
      <c r="HV50" s="329"/>
      <c r="HW50" s="329"/>
      <c r="HX50" s="329"/>
      <c r="HY50" s="329"/>
      <c r="HZ50" s="329"/>
      <c r="IA50" s="329"/>
      <c r="IB50" s="329"/>
      <c r="IC50" s="329"/>
      <c r="ID50" s="329"/>
      <c r="IE50" s="329"/>
      <c r="IF50" s="329"/>
      <c r="IG50" s="329"/>
      <c r="IH50" s="329"/>
      <c r="II50" s="329"/>
      <c r="IJ50" s="329"/>
      <c r="IK50" s="329"/>
      <c r="IL50" s="329"/>
      <c r="IM50" s="329"/>
      <c r="IN50" s="329"/>
      <c r="IO50" s="329"/>
      <c r="IP50" s="329"/>
      <c r="IQ50" s="329"/>
      <c r="IR50" s="329"/>
      <c r="IS50" s="329"/>
    </row>
    <row r="51" spans="1:253" s="672" customFormat="1" ht="54.95" customHeight="1">
      <c r="A51" s="667" t="s">
        <v>458</v>
      </c>
      <c r="B51" s="668" t="s">
        <v>435</v>
      </c>
      <c r="C51" s="669">
        <v>2024</v>
      </c>
      <c r="D51" s="670">
        <v>18500</v>
      </c>
      <c r="E51" s="671" t="s">
        <v>421</v>
      </c>
      <c r="F51" s="670">
        <f>G51+H51</f>
        <v>18500</v>
      </c>
      <c r="G51" s="670">
        <v>18500</v>
      </c>
      <c r="H51" s="670">
        <v>0</v>
      </c>
      <c r="I51" s="668" t="s">
        <v>459</v>
      </c>
    </row>
    <row r="52" spans="1:253" s="672" customFormat="1" ht="29.1" customHeight="1">
      <c r="A52" s="667" t="s">
        <v>458</v>
      </c>
      <c r="B52" s="668" t="s">
        <v>460</v>
      </c>
      <c r="C52" s="669">
        <v>2024</v>
      </c>
      <c r="D52" s="670">
        <v>2500000</v>
      </c>
      <c r="E52" s="671" t="s">
        <v>421</v>
      </c>
      <c r="F52" s="670">
        <f>G52+H52</f>
        <v>2500000</v>
      </c>
      <c r="G52" s="670">
        <v>2500000</v>
      </c>
      <c r="H52" s="670">
        <v>0</v>
      </c>
      <c r="I52" s="668" t="s">
        <v>424</v>
      </c>
    </row>
    <row r="53" spans="1:253" s="672" customFormat="1" ht="29.1" customHeight="1">
      <c r="A53" s="667" t="s">
        <v>461</v>
      </c>
      <c r="B53" s="668" t="s">
        <v>462</v>
      </c>
      <c r="C53" s="669">
        <v>2024</v>
      </c>
      <c r="D53" s="670">
        <v>1300000</v>
      </c>
      <c r="E53" s="671" t="s">
        <v>421</v>
      </c>
      <c r="F53" s="670">
        <f>G53+H53</f>
        <v>1300000</v>
      </c>
      <c r="G53" s="670">
        <v>1300000</v>
      </c>
      <c r="H53" s="670">
        <v>0</v>
      </c>
      <c r="I53" s="668" t="s">
        <v>424</v>
      </c>
    </row>
    <row r="54" spans="1:253" ht="15" customHeight="1">
      <c r="A54" s="324" t="s">
        <v>40</v>
      </c>
      <c r="B54" s="336" t="s">
        <v>41</v>
      </c>
      <c r="C54" s="326" t="s">
        <v>421</v>
      </c>
      <c r="D54" s="327">
        <f>D55+D56+D57+D58+D59+D60+D61+D62+D63+D64+D65+D66+D67</f>
        <v>1614105</v>
      </c>
      <c r="E54" s="328" t="s">
        <v>421</v>
      </c>
      <c r="F54" s="327">
        <f>F55+F56+F57+F58+F59+F60+F61+F62+F63+F64+F65+F66+F67</f>
        <v>1614105</v>
      </c>
      <c r="G54" s="327">
        <f>G55+G56+G57+G58+G59+G60+G61+G62+G63+G64+G65+G66+G67</f>
        <v>1614105</v>
      </c>
      <c r="H54" s="327">
        <f>H55+H56+H57+H58+H59+H60+H61+H62+H63+H64+H65+H66+H67</f>
        <v>0</v>
      </c>
      <c r="I54" s="326" t="s">
        <v>421</v>
      </c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329"/>
      <c r="BU54" s="329"/>
      <c r="BV54" s="329"/>
      <c r="BW54" s="329"/>
      <c r="BX54" s="329"/>
      <c r="BY54" s="329"/>
      <c r="BZ54" s="329"/>
      <c r="CA54" s="329"/>
      <c r="CB54" s="329"/>
      <c r="CC54" s="329"/>
      <c r="CD54" s="329"/>
      <c r="CE54" s="329"/>
      <c r="CF54" s="329"/>
      <c r="CG54" s="329"/>
      <c r="CH54" s="329"/>
      <c r="CI54" s="329"/>
      <c r="CJ54" s="329"/>
      <c r="CK54" s="329"/>
      <c r="CL54" s="329"/>
      <c r="CM54" s="329"/>
      <c r="CN54" s="329"/>
      <c r="CO54" s="329"/>
      <c r="CP54" s="329"/>
      <c r="CQ54" s="329"/>
      <c r="CR54" s="329"/>
      <c r="CS54" s="329"/>
      <c r="CT54" s="329"/>
      <c r="CU54" s="329"/>
      <c r="CV54" s="329"/>
      <c r="CW54" s="329"/>
      <c r="CX54" s="329"/>
      <c r="CY54" s="329"/>
      <c r="CZ54" s="329"/>
      <c r="DA54" s="329"/>
      <c r="DB54" s="329"/>
      <c r="DC54" s="329"/>
      <c r="DD54" s="329"/>
      <c r="DE54" s="329"/>
      <c r="DF54" s="329"/>
      <c r="DG54" s="329"/>
      <c r="DH54" s="329"/>
      <c r="DI54" s="329"/>
      <c r="DJ54" s="329"/>
      <c r="DK54" s="329"/>
      <c r="DL54" s="329"/>
      <c r="DM54" s="329"/>
      <c r="DN54" s="329"/>
      <c r="DO54" s="329"/>
      <c r="DP54" s="329"/>
      <c r="DQ54" s="329"/>
      <c r="DR54" s="329"/>
      <c r="DS54" s="329"/>
      <c r="DT54" s="329"/>
      <c r="DU54" s="329"/>
      <c r="DV54" s="329"/>
      <c r="DW54" s="329"/>
      <c r="DX54" s="329"/>
      <c r="DY54" s="329"/>
      <c r="DZ54" s="329"/>
      <c r="EA54" s="329"/>
      <c r="EB54" s="329"/>
      <c r="EC54" s="329"/>
      <c r="ED54" s="329"/>
      <c r="EE54" s="329"/>
      <c r="EF54" s="329"/>
      <c r="EG54" s="329"/>
      <c r="EH54" s="329"/>
      <c r="EI54" s="329"/>
      <c r="EJ54" s="329"/>
      <c r="EK54" s="329"/>
      <c r="EL54" s="329"/>
      <c r="EM54" s="329"/>
      <c r="EN54" s="329"/>
      <c r="EO54" s="329"/>
      <c r="EP54" s="329"/>
      <c r="EQ54" s="329"/>
      <c r="ER54" s="329"/>
      <c r="ES54" s="329"/>
      <c r="ET54" s="329"/>
      <c r="EU54" s="329"/>
      <c r="EV54" s="329"/>
      <c r="EW54" s="329"/>
      <c r="EX54" s="329"/>
      <c r="EY54" s="329"/>
      <c r="EZ54" s="329"/>
      <c r="FA54" s="329"/>
      <c r="FB54" s="329"/>
      <c r="FC54" s="329"/>
      <c r="FD54" s="329"/>
      <c r="FE54" s="329"/>
      <c r="FF54" s="329"/>
      <c r="FG54" s="329"/>
      <c r="FH54" s="329"/>
      <c r="FI54" s="329"/>
      <c r="FJ54" s="329"/>
      <c r="FK54" s="329"/>
      <c r="FL54" s="329"/>
      <c r="FM54" s="329"/>
      <c r="FN54" s="329"/>
      <c r="FO54" s="329"/>
      <c r="FP54" s="329"/>
      <c r="FQ54" s="329"/>
      <c r="FR54" s="329"/>
      <c r="FS54" s="329"/>
      <c r="FT54" s="329"/>
      <c r="FU54" s="329"/>
      <c r="FV54" s="329"/>
      <c r="FW54" s="329"/>
      <c r="FX54" s="329"/>
      <c r="FY54" s="329"/>
      <c r="FZ54" s="329"/>
      <c r="GA54" s="329"/>
      <c r="GB54" s="329"/>
      <c r="GC54" s="329"/>
      <c r="GD54" s="329"/>
      <c r="GE54" s="329"/>
      <c r="GF54" s="329"/>
      <c r="GG54" s="329"/>
      <c r="GH54" s="329"/>
      <c r="GI54" s="329"/>
      <c r="GJ54" s="329"/>
      <c r="GK54" s="329"/>
      <c r="GL54" s="329"/>
      <c r="GM54" s="329"/>
      <c r="GN54" s="329"/>
      <c r="GO54" s="329"/>
      <c r="GP54" s="329"/>
      <c r="GQ54" s="329"/>
      <c r="GR54" s="329"/>
      <c r="GS54" s="329"/>
      <c r="GT54" s="329"/>
      <c r="GU54" s="329"/>
      <c r="GV54" s="329"/>
      <c r="GW54" s="329"/>
      <c r="GX54" s="329"/>
      <c r="GY54" s="329"/>
      <c r="GZ54" s="329"/>
      <c r="HA54" s="329"/>
      <c r="HB54" s="329"/>
      <c r="HC54" s="329"/>
      <c r="HD54" s="329"/>
      <c r="HE54" s="329"/>
      <c r="HF54" s="329"/>
      <c r="HG54" s="329"/>
      <c r="HH54" s="329"/>
      <c r="HI54" s="329"/>
      <c r="HJ54" s="329"/>
      <c r="HK54" s="329"/>
      <c r="HL54" s="329"/>
      <c r="HM54" s="329"/>
      <c r="HN54" s="329"/>
      <c r="HO54" s="329"/>
      <c r="HP54" s="329"/>
      <c r="HQ54" s="329"/>
      <c r="HR54" s="329"/>
      <c r="HS54" s="329"/>
      <c r="HT54" s="329"/>
      <c r="HU54" s="329"/>
      <c r="HV54" s="329"/>
      <c r="HW54" s="329"/>
      <c r="HX54" s="329"/>
      <c r="HY54" s="329"/>
      <c r="HZ54" s="329"/>
      <c r="IA54" s="329"/>
      <c r="IB54" s="329"/>
      <c r="IC54" s="329"/>
      <c r="ID54" s="329"/>
      <c r="IE54" s="329"/>
      <c r="IF54" s="329"/>
      <c r="IG54" s="329"/>
      <c r="IH54" s="329"/>
      <c r="II54" s="329"/>
      <c r="IJ54" s="329"/>
      <c r="IK54" s="329"/>
      <c r="IL54" s="329"/>
      <c r="IM54" s="329"/>
      <c r="IN54" s="329"/>
      <c r="IO54" s="329"/>
      <c r="IP54" s="329"/>
      <c r="IQ54" s="329"/>
      <c r="IR54" s="329"/>
      <c r="IS54" s="329"/>
    </row>
    <row r="55" spans="1:253" ht="15" customHeight="1">
      <c r="A55" s="330" t="s">
        <v>463</v>
      </c>
      <c r="B55" s="331" t="s">
        <v>435</v>
      </c>
      <c r="C55" s="332">
        <v>2024</v>
      </c>
      <c r="D55" s="333">
        <v>182295</v>
      </c>
      <c r="E55" s="334" t="s">
        <v>421</v>
      </c>
      <c r="F55" s="333">
        <f t="shared" ref="F55:F67" si="1">G55+H55</f>
        <v>182295</v>
      </c>
      <c r="G55" s="333">
        <v>182295</v>
      </c>
      <c r="H55" s="333">
        <v>0</v>
      </c>
      <c r="I55" s="331" t="s">
        <v>464</v>
      </c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35"/>
      <c r="CB55" s="335"/>
      <c r="CC55" s="335"/>
      <c r="CD55" s="335"/>
      <c r="CE55" s="335"/>
      <c r="CF55" s="335"/>
      <c r="CG55" s="335"/>
      <c r="CH55" s="335"/>
      <c r="CI55" s="335"/>
      <c r="CJ55" s="335"/>
      <c r="CK55" s="335"/>
      <c r="CL55" s="335"/>
      <c r="CM55" s="335"/>
      <c r="CN55" s="335"/>
      <c r="CO55" s="335"/>
      <c r="CP55" s="335"/>
      <c r="CQ55" s="335"/>
      <c r="CR55" s="335"/>
      <c r="CS55" s="335"/>
      <c r="CT55" s="335"/>
      <c r="CU55" s="335"/>
      <c r="CV55" s="335"/>
      <c r="CW55" s="335"/>
      <c r="CX55" s="335"/>
      <c r="CY55" s="335"/>
      <c r="CZ55" s="335"/>
      <c r="DA55" s="335"/>
      <c r="DB55" s="335"/>
      <c r="DC55" s="335"/>
      <c r="DD55" s="335"/>
      <c r="DE55" s="335"/>
      <c r="DF55" s="335"/>
      <c r="DG55" s="335"/>
      <c r="DH55" s="335"/>
      <c r="DI55" s="335"/>
      <c r="DJ55" s="335"/>
      <c r="DK55" s="335"/>
      <c r="DL55" s="335"/>
      <c r="DM55" s="335"/>
      <c r="DN55" s="335"/>
      <c r="DO55" s="335"/>
      <c r="DP55" s="335"/>
      <c r="DQ55" s="335"/>
      <c r="DR55" s="335"/>
      <c r="DS55" s="335"/>
      <c r="DT55" s="335"/>
      <c r="DU55" s="335"/>
      <c r="DV55" s="335"/>
      <c r="DW55" s="335"/>
      <c r="DX55" s="335"/>
      <c r="DY55" s="335"/>
      <c r="DZ55" s="335"/>
      <c r="EA55" s="335"/>
      <c r="EB55" s="335"/>
      <c r="EC55" s="335"/>
      <c r="ED55" s="335"/>
      <c r="EE55" s="335"/>
      <c r="EF55" s="335"/>
      <c r="EG55" s="335"/>
      <c r="EH55" s="335"/>
      <c r="EI55" s="335"/>
      <c r="EJ55" s="335"/>
      <c r="EK55" s="335"/>
      <c r="EL55" s="335"/>
      <c r="EM55" s="335"/>
      <c r="EN55" s="335"/>
      <c r="EO55" s="335"/>
      <c r="EP55" s="335"/>
      <c r="EQ55" s="335"/>
      <c r="ER55" s="335"/>
      <c r="ES55" s="335"/>
      <c r="ET55" s="335"/>
      <c r="EU55" s="335"/>
      <c r="EV55" s="335"/>
      <c r="EW55" s="335"/>
      <c r="EX55" s="335"/>
      <c r="EY55" s="335"/>
      <c r="EZ55" s="335"/>
      <c r="FA55" s="335"/>
      <c r="FB55" s="335"/>
      <c r="FC55" s="335"/>
      <c r="FD55" s="335"/>
      <c r="FE55" s="335"/>
      <c r="FF55" s="335"/>
      <c r="FG55" s="335"/>
      <c r="FH55" s="335"/>
      <c r="FI55" s="335"/>
      <c r="FJ55" s="335"/>
      <c r="FK55" s="335"/>
      <c r="FL55" s="335"/>
      <c r="FM55" s="335"/>
      <c r="FN55" s="335"/>
      <c r="FO55" s="335"/>
      <c r="FP55" s="335"/>
      <c r="FQ55" s="335"/>
      <c r="FR55" s="335"/>
      <c r="FS55" s="335"/>
      <c r="FT55" s="335"/>
      <c r="FU55" s="335"/>
      <c r="FV55" s="335"/>
      <c r="FW55" s="335"/>
      <c r="FX55" s="335"/>
      <c r="FY55" s="335"/>
      <c r="FZ55" s="335"/>
      <c r="GA55" s="335"/>
      <c r="GB55" s="335"/>
      <c r="GC55" s="335"/>
      <c r="GD55" s="335"/>
      <c r="GE55" s="335"/>
      <c r="GF55" s="335"/>
      <c r="GG55" s="335"/>
      <c r="GH55" s="335"/>
      <c r="GI55" s="335"/>
      <c r="GJ55" s="335"/>
      <c r="GK55" s="335"/>
      <c r="GL55" s="335"/>
      <c r="GM55" s="335"/>
      <c r="GN55" s="335"/>
      <c r="GO55" s="335"/>
      <c r="GP55" s="335"/>
      <c r="GQ55" s="335"/>
      <c r="GR55" s="335"/>
      <c r="GS55" s="335"/>
      <c r="GT55" s="335"/>
      <c r="GU55" s="335"/>
      <c r="GV55" s="335"/>
      <c r="GW55" s="335"/>
      <c r="GX55" s="335"/>
      <c r="GY55" s="335"/>
      <c r="GZ55" s="335"/>
      <c r="HA55" s="335"/>
      <c r="HB55" s="335"/>
      <c r="HC55" s="335"/>
      <c r="HD55" s="335"/>
      <c r="HE55" s="335"/>
      <c r="HF55" s="335"/>
      <c r="HG55" s="335"/>
      <c r="HH55" s="335"/>
      <c r="HI55" s="335"/>
      <c r="HJ55" s="335"/>
      <c r="HK55" s="335"/>
      <c r="HL55" s="335"/>
      <c r="HM55" s="335"/>
      <c r="HN55" s="335"/>
      <c r="HO55" s="335"/>
      <c r="HP55" s="335"/>
      <c r="HQ55" s="335"/>
      <c r="HR55" s="335"/>
      <c r="HS55" s="335"/>
      <c r="HT55" s="335"/>
      <c r="HU55" s="335"/>
      <c r="HV55" s="335"/>
      <c r="HW55" s="335"/>
      <c r="HX55" s="335"/>
      <c r="HY55" s="335"/>
      <c r="HZ55" s="335"/>
      <c r="IA55" s="335"/>
      <c r="IB55" s="335"/>
      <c r="IC55" s="335"/>
      <c r="ID55" s="335"/>
      <c r="IE55" s="335"/>
      <c r="IF55" s="335"/>
      <c r="IG55" s="335"/>
      <c r="IH55" s="335"/>
      <c r="II55" s="335"/>
      <c r="IJ55" s="335"/>
      <c r="IK55" s="335"/>
      <c r="IL55" s="335"/>
      <c r="IM55" s="335"/>
      <c r="IN55" s="335"/>
      <c r="IO55" s="335"/>
      <c r="IP55" s="335"/>
      <c r="IQ55" s="335"/>
      <c r="IR55" s="335"/>
      <c r="IS55" s="335"/>
    </row>
    <row r="56" spans="1:253" s="672" customFormat="1" ht="42" customHeight="1">
      <c r="A56" s="667" t="s">
        <v>463</v>
      </c>
      <c r="B56" s="668" t="s">
        <v>465</v>
      </c>
      <c r="C56" s="669">
        <v>2024</v>
      </c>
      <c r="D56" s="670">
        <v>280000</v>
      </c>
      <c r="E56" s="671" t="s">
        <v>421</v>
      </c>
      <c r="F56" s="670">
        <f t="shared" si="1"/>
        <v>280000</v>
      </c>
      <c r="G56" s="670">
        <v>280000</v>
      </c>
      <c r="H56" s="670">
        <v>0</v>
      </c>
      <c r="I56" s="668" t="s">
        <v>466</v>
      </c>
    </row>
    <row r="57" spans="1:253" s="672" customFormat="1" ht="42" customHeight="1">
      <c r="A57" s="667" t="s">
        <v>463</v>
      </c>
      <c r="B57" s="668" t="s">
        <v>467</v>
      </c>
      <c r="C57" s="669">
        <v>2024</v>
      </c>
      <c r="D57" s="670">
        <v>250000</v>
      </c>
      <c r="E57" s="671" t="s">
        <v>421</v>
      </c>
      <c r="F57" s="670">
        <f t="shared" si="1"/>
        <v>250000</v>
      </c>
      <c r="G57" s="670">
        <v>250000</v>
      </c>
      <c r="H57" s="670">
        <v>0</v>
      </c>
      <c r="I57" s="668" t="s">
        <v>468</v>
      </c>
    </row>
    <row r="58" spans="1:253" ht="15" customHeight="1">
      <c r="A58" s="330" t="s">
        <v>469</v>
      </c>
      <c r="B58" s="331" t="s">
        <v>470</v>
      </c>
      <c r="C58" s="332">
        <v>2024</v>
      </c>
      <c r="D58" s="333">
        <v>12000</v>
      </c>
      <c r="E58" s="334" t="s">
        <v>421</v>
      </c>
      <c r="F58" s="333">
        <f t="shared" si="1"/>
        <v>12000</v>
      </c>
      <c r="G58" s="333">
        <v>12000</v>
      </c>
      <c r="H58" s="333">
        <v>0</v>
      </c>
      <c r="I58" s="331" t="s">
        <v>471</v>
      </c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5"/>
      <c r="CC58" s="335"/>
      <c r="CD58" s="335"/>
      <c r="CE58" s="335"/>
      <c r="CF58" s="335"/>
      <c r="CG58" s="335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5"/>
      <c r="DE58" s="335"/>
      <c r="DF58" s="335"/>
      <c r="DG58" s="335"/>
      <c r="DH58" s="335"/>
      <c r="DI58" s="335"/>
      <c r="DJ58" s="335"/>
      <c r="DK58" s="335"/>
      <c r="DL58" s="335"/>
      <c r="DM58" s="335"/>
      <c r="DN58" s="335"/>
      <c r="DO58" s="335"/>
      <c r="DP58" s="335"/>
      <c r="DQ58" s="335"/>
      <c r="DR58" s="335"/>
      <c r="DS58" s="335"/>
      <c r="DT58" s="335"/>
      <c r="DU58" s="335"/>
      <c r="DV58" s="335"/>
      <c r="DW58" s="335"/>
      <c r="DX58" s="335"/>
      <c r="DY58" s="335"/>
      <c r="DZ58" s="335"/>
      <c r="EA58" s="335"/>
      <c r="EB58" s="335"/>
      <c r="EC58" s="335"/>
      <c r="ED58" s="335"/>
      <c r="EE58" s="335"/>
      <c r="EF58" s="335"/>
      <c r="EG58" s="335"/>
      <c r="EH58" s="335"/>
      <c r="EI58" s="335"/>
      <c r="EJ58" s="335"/>
      <c r="EK58" s="335"/>
      <c r="EL58" s="335"/>
      <c r="EM58" s="335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5"/>
      <c r="FH58" s="335"/>
      <c r="FI58" s="335"/>
      <c r="FJ58" s="335"/>
      <c r="FK58" s="335"/>
      <c r="FL58" s="335"/>
      <c r="FM58" s="335"/>
      <c r="FN58" s="335"/>
      <c r="FO58" s="335"/>
      <c r="FP58" s="335"/>
      <c r="FQ58" s="335"/>
      <c r="FR58" s="335"/>
      <c r="FS58" s="335"/>
      <c r="FT58" s="335"/>
      <c r="FU58" s="335"/>
      <c r="FV58" s="335"/>
      <c r="FW58" s="335"/>
      <c r="FX58" s="335"/>
      <c r="FY58" s="335"/>
      <c r="FZ58" s="335"/>
      <c r="GA58" s="335"/>
      <c r="GB58" s="335"/>
      <c r="GC58" s="335"/>
      <c r="GD58" s="335"/>
      <c r="GE58" s="335"/>
      <c r="GF58" s="335"/>
      <c r="GG58" s="335"/>
      <c r="GH58" s="335"/>
      <c r="GI58" s="335"/>
      <c r="GJ58" s="335"/>
      <c r="GK58" s="335"/>
      <c r="GL58" s="335"/>
      <c r="GM58" s="335"/>
      <c r="GN58" s="335"/>
      <c r="GO58" s="335"/>
      <c r="GP58" s="335"/>
      <c r="GQ58" s="335"/>
      <c r="GR58" s="335"/>
      <c r="GS58" s="335"/>
      <c r="GT58" s="335"/>
      <c r="GU58" s="335"/>
      <c r="GV58" s="335"/>
      <c r="GW58" s="335"/>
      <c r="GX58" s="335"/>
      <c r="GY58" s="335"/>
      <c r="GZ58" s="335"/>
      <c r="HA58" s="335"/>
      <c r="HB58" s="335"/>
      <c r="HC58" s="335"/>
      <c r="HD58" s="335"/>
      <c r="HE58" s="335"/>
      <c r="HF58" s="335"/>
      <c r="HG58" s="335"/>
      <c r="HH58" s="335"/>
      <c r="HI58" s="335"/>
      <c r="HJ58" s="335"/>
      <c r="HK58" s="335"/>
      <c r="HL58" s="335"/>
      <c r="HM58" s="335"/>
      <c r="HN58" s="335"/>
      <c r="HO58" s="335"/>
      <c r="HP58" s="335"/>
      <c r="HQ58" s="335"/>
      <c r="HR58" s="335"/>
      <c r="HS58" s="335"/>
      <c r="HT58" s="335"/>
      <c r="HU58" s="335"/>
      <c r="HV58" s="335"/>
      <c r="HW58" s="335"/>
      <c r="HX58" s="335"/>
      <c r="HY58" s="335"/>
      <c r="HZ58" s="335"/>
      <c r="IA58" s="335"/>
      <c r="IB58" s="335"/>
      <c r="IC58" s="335"/>
      <c r="ID58" s="335"/>
      <c r="IE58" s="335"/>
      <c r="IF58" s="335"/>
      <c r="IG58" s="335"/>
      <c r="IH58" s="335"/>
      <c r="II58" s="335"/>
      <c r="IJ58" s="335"/>
      <c r="IK58" s="335"/>
      <c r="IL58" s="335"/>
      <c r="IM58" s="335"/>
      <c r="IN58" s="335"/>
      <c r="IO58" s="335"/>
      <c r="IP58" s="335"/>
      <c r="IQ58" s="335"/>
      <c r="IR58" s="335"/>
      <c r="IS58" s="335"/>
    </row>
    <row r="59" spans="1:253" ht="15" customHeight="1">
      <c r="A59" s="330" t="s">
        <v>469</v>
      </c>
      <c r="B59" s="331" t="s">
        <v>435</v>
      </c>
      <c r="C59" s="332">
        <v>2024</v>
      </c>
      <c r="D59" s="333">
        <v>20000</v>
      </c>
      <c r="E59" s="334" t="s">
        <v>421</v>
      </c>
      <c r="F59" s="333">
        <f t="shared" si="1"/>
        <v>20000</v>
      </c>
      <c r="G59" s="333">
        <v>20000</v>
      </c>
      <c r="H59" s="333">
        <v>0</v>
      </c>
      <c r="I59" s="331" t="s">
        <v>472</v>
      </c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  <c r="BX59" s="335"/>
      <c r="BY59" s="335"/>
      <c r="BZ59" s="335"/>
      <c r="CA59" s="335"/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335"/>
      <c r="CT59" s="335"/>
      <c r="CU59" s="335"/>
      <c r="CV59" s="335"/>
      <c r="CW59" s="335"/>
      <c r="CX59" s="335"/>
      <c r="CY59" s="335"/>
      <c r="CZ59" s="335"/>
      <c r="DA59" s="335"/>
      <c r="DB59" s="335"/>
      <c r="DC59" s="335"/>
      <c r="DD59" s="335"/>
      <c r="DE59" s="335"/>
      <c r="DF59" s="335"/>
      <c r="DG59" s="335"/>
      <c r="DH59" s="335"/>
      <c r="DI59" s="335"/>
      <c r="DJ59" s="335"/>
      <c r="DK59" s="335"/>
      <c r="DL59" s="335"/>
      <c r="DM59" s="335"/>
      <c r="DN59" s="335"/>
      <c r="DO59" s="335"/>
      <c r="DP59" s="335"/>
      <c r="DQ59" s="335"/>
      <c r="DR59" s="335"/>
      <c r="DS59" s="335"/>
      <c r="DT59" s="335"/>
      <c r="DU59" s="335"/>
      <c r="DV59" s="335"/>
      <c r="DW59" s="335"/>
      <c r="DX59" s="335"/>
      <c r="DY59" s="335"/>
      <c r="DZ59" s="335"/>
      <c r="EA59" s="335"/>
      <c r="EB59" s="335"/>
      <c r="EC59" s="335"/>
      <c r="ED59" s="335"/>
      <c r="EE59" s="335"/>
      <c r="EF59" s="335"/>
      <c r="EG59" s="335"/>
      <c r="EH59" s="335"/>
      <c r="EI59" s="335"/>
      <c r="EJ59" s="335"/>
      <c r="EK59" s="335"/>
      <c r="EL59" s="335"/>
      <c r="EM59" s="335"/>
      <c r="EN59" s="335"/>
      <c r="EO59" s="335"/>
      <c r="EP59" s="335"/>
      <c r="EQ59" s="335"/>
      <c r="ER59" s="335"/>
      <c r="ES59" s="335"/>
      <c r="ET59" s="335"/>
      <c r="EU59" s="335"/>
      <c r="EV59" s="335"/>
      <c r="EW59" s="335"/>
      <c r="EX59" s="335"/>
      <c r="EY59" s="335"/>
      <c r="EZ59" s="335"/>
      <c r="FA59" s="335"/>
      <c r="FB59" s="335"/>
      <c r="FC59" s="335"/>
      <c r="FD59" s="335"/>
      <c r="FE59" s="335"/>
      <c r="FF59" s="335"/>
      <c r="FG59" s="335"/>
      <c r="FH59" s="335"/>
      <c r="FI59" s="335"/>
      <c r="FJ59" s="335"/>
      <c r="FK59" s="335"/>
      <c r="FL59" s="335"/>
      <c r="FM59" s="335"/>
      <c r="FN59" s="335"/>
      <c r="FO59" s="335"/>
      <c r="FP59" s="335"/>
      <c r="FQ59" s="335"/>
      <c r="FR59" s="335"/>
      <c r="FS59" s="335"/>
      <c r="FT59" s="335"/>
      <c r="FU59" s="335"/>
      <c r="FV59" s="335"/>
      <c r="FW59" s="335"/>
      <c r="FX59" s="335"/>
      <c r="FY59" s="335"/>
      <c r="FZ59" s="335"/>
      <c r="GA59" s="335"/>
      <c r="GB59" s="335"/>
      <c r="GC59" s="335"/>
      <c r="GD59" s="335"/>
      <c r="GE59" s="335"/>
      <c r="GF59" s="335"/>
      <c r="GG59" s="335"/>
      <c r="GH59" s="335"/>
      <c r="GI59" s="335"/>
      <c r="GJ59" s="335"/>
      <c r="GK59" s="335"/>
      <c r="GL59" s="335"/>
      <c r="GM59" s="335"/>
      <c r="GN59" s="335"/>
      <c r="GO59" s="335"/>
      <c r="GP59" s="335"/>
      <c r="GQ59" s="335"/>
      <c r="GR59" s="335"/>
      <c r="GS59" s="335"/>
      <c r="GT59" s="335"/>
      <c r="GU59" s="335"/>
      <c r="GV59" s="335"/>
      <c r="GW59" s="335"/>
      <c r="GX59" s="335"/>
      <c r="GY59" s="335"/>
      <c r="GZ59" s="335"/>
      <c r="HA59" s="335"/>
      <c r="HB59" s="335"/>
      <c r="HC59" s="335"/>
      <c r="HD59" s="335"/>
      <c r="HE59" s="335"/>
      <c r="HF59" s="335"/>
      <c r="HG59" s="335"/>
      <c r="HH59" s="335"/>
      <c r="HI59" s="335"/>
      <c r="HJ59" s="335"/>
      <c r="HK59" s="335"/>
      <c r="HL59" s="335"/>
      <c r="HM59" s="335"/>
      <c r="HN59" s="335"/>
      <c r="HO59" s="335"/>
      <c r="HP59" s="335"/>
      <c r="HQ59" s="335"/>
      <c r="HR59" s="335"/>
      <c r="HS59" s="335"/>
      <c r="HT59" s="335"/>
      <c r="HU59" s="335"/>
      <c r="HV59" s="335"/>
      <c r="HW59" s="335"/>
      <c r="HX59" s="335"/>
      <c r="HY59" s="335"/>
      <c r="HZ59" s="335"/>
      <c r="IA59" s="335"/>
      <c r="IB59" s="335"/>
      <c r="IC59" s="335"/>
      <c r="ID59" s="335"/>
      <c r="IE59" s="335"/>
      <c r="IF59" s="335"/>
      <c r="IG59" s="335"/>
      <c r="IH59" s="335"/>
      <c r="II59" s="335"/>
      <c r="IJ59" s="335"/>
      <c r="IK59" s="335"/>
      <c r="IL59" s="335"/>
      <c r="IM59" s="335"/>
      <c r="IN59" s="335"/>
      <c r="IO59" s="335"/>
      <c r="IP59" s="335"/>
      <c r="IQ59" s="335"/>
      <c r="IR59" s="335"/>
      <c r="IS59" s="335"/>
    </row>
    <row r="60" spans="1:253" s="672" customFormat="1" ht="29.1" customHeight="1">
      <c r="A60" s="667" t="s">
        <v>473</v>
      </c>
      <c r="B60" s="668" t="s">
        <v>474</v>
      </c>
      <c r="C60" s="669">
        <v>2024</v>
      </c>
      <c r="D60" s="670">
        <v>223000</v>
      </c>
      <c r="E60" s="671" t="s">
        <v>421</v>
      </c>
      <c r="F60" s="670">
        <f t="shared" si="1"/>
        <v>223000</v>
      </c>
      <c r="G60" s="670">
        <v>223000</v>
      </c>
      <c r="H60" s="670">
        <v>0</v>
      </c>
      <c r="I60" s="668" t="s">
        <v>475</v>
      </c>
    </row>
    <row r="61" spans="1:253" s="672" customFormat="1" ht="29.1" customHeight="1">
      <c r="A61" s="667" t="s">
        <v>473</v>
      </c>
      <c r="B61" s="668" t="s">
        <v>435</v>
      </c>
      <c r="C61" s="669">
        <v>2024</v>
      </c>
      <c r="D61" s="670">
        <v>19300</v>
      </c>
      <c r="E61" s="671" t="s">
        <v>421</v>
      </c>
      <c r="F61" s="670">
        <f t="shared" si="1"/>
        <v>19300</v>
      </c>
      <c r="G61" s="670">
        <v>19300</v>
      </c>
      <c r="H61" s="670">
        <v>0</v>
      </c>
      <c r="I61" s="668" t="s">
        <v>475</v>
      </c>
    </row>
    <row r="62" spans="1:253" s="672" customFormat="1" ht="29.1" customHeight="1">
      <c r="A62" s="667" t="s">
        <v>473</v>
      </c>
      <c r="B62" s="668" t="s">
        <v>476</v>
      </c>
      <c r="C62" s="669">
        <v>2024</v>
      </c>
      <c r="D62" s="670">
        <v>183653</v>
      </c>
      <c r="E62" s="671" t="s">
        <v>421</v>
      </c>
      <c r="F62" s="670">
        <f t="shared" si="1"/>
        <v>183653</v>
      </c>
      <c r="G62" s="670">
        <v>183653</v>
      </c>
      <c r="H62" s="670">
        <v>0</v>
      </c>
      <c r="I62" s="668" t="s">
        <v>477</v>
      </c>
    </row>
    <row r="63" spans="1:253" s="672" customFormat="1" ht="29.1" customHeight="1">
      <c r="A63" s="667" t="s">
        <v>478</v>
      </c>
      <c r="B63" s="668" t="s">
        <v>435</v>
      </c>
      <c r="C63" s="669">
        <v>2024</v>
      </c>
      <c r="D63" s="670">
        <v>120614</v>
      </c>
      <c r="E63" s="671" t="s">
        <v>421</v>
      </c>
      <c r="F63" s="670">
        <f t="shared" si="1"/>
        <v>120614</v>
      </c>
      <c r="G63" s="670">
        <v>120614</v>
      </c>
      <c r="H63" s="670">
        <v>0</v>
      </c>
      <c r="I63" s="668" t="s">
        <v>479</v>
      </c>
    </row>
    <row r="64" spans="1:253" s="672" customFormat="1" ht="29.1" customHeight="1">
      <c r="A64" s="667" t="s">
        <v>478</v>
      </c>
      <c r="B64" s="668" t="s">
        <v>480</v>
      </c>
      <c r="C64" s="669">
        <v>2024</v>
      </c>
      <c r="D64" s="670">
        <v>50743</v>
      </c>
      <c r="E64" s="671" t="s">
        <v>421</v>
      </c>
      <c r="F64" s="670">
        <f t="shared" si="1"/>
        <v>50743</v>
      </c>
      <c r="G64" s="670">
        <v>50743</v>
      </c>
      <c r="H64" s="670">
        <v>0</v>
      </c>
      <c r="I64" s="668" t="s">
        <v>481</v>
      </c>
    </row>
    <row r="65" spans="1:253" ht="15" customHeight="1">
      <c r="A65" s="330" t="s">
        <v>482</v>
      </c>
      <c r="B65" s="331" t="s">
        <v>435</v>
      </c>
      <c r="C65" s="332">
        <v>2024</v>
      </c>
      <c r="D65" s="333">
        <v>67500</v>
      </c>
      <c r="E65" s="334" t="s">
        <v>421</v>
      </c>
      <c r="F65" s="333">
        <f t="shared" si="1"/>
        <v>67500</v>
      </c>
      <c r="G65" s="333">
        <v>67500</v>
      </c>
      <c r="H65" s="333">
        <v>0</v>
      </c>
      <c r="I65" s="331" t="s">
        <v>483</v>
      </c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5"/>
      <c r="CE65" s="335"/>
      <c r="CF65" s="335"/>
      <c r="CG65" s="335"/>
      <c r="CH65" s="335"/>
      <c r="CI65" s="335"/>
      <c r="CJ65" s="335"/>
      <c r="CK65" s="335"/>
      <c r="CL65" s="335"/>
      <c r="CM65" s="335"/>
      <c r="CN65" s="335"/>
      <c r="CO65" s="335"/>
      <c r="CP65" s="335"/>
      <c r="CQ65" s="335"/>
      <c r="CR65" s="335"/>
      <c r="CS65" s="335"/>
      <c r="CT65" s="335"/>
      <c r="CU65" s="335"/>
      <c r="CV65" s="335"/>
      <c r="CW65" s="335"/>
      <c r="CX65" s="335"/>
      <c r="CY65" s="335"/>
      <c r="CZ65" s="335"/>
      <c r="DA65" s="335"/>
      <c r="DB65" s="335"/>
      <c r="DC65" s="335"/>
      <c r="DD65" s="335"/>
      <c r="DE65" s="335"/>
      <c r="DF65" s="335"/>
      <c r="DG65" s="335"/>
      <c r="DH65" s="335"/>
      <c r="DI65" s="335"/>
      <c r="DJ65" s="335"/>
      <c r="DK65" s="335"/>
      <c r="DL65" s="335"/>
      <c r="DM65" s="335"/>
      <c r="DN65" s="335"/>
      <c r="DO65" s="335"/>
      <c r="DP65" s="335"/>
      <c r="DQ65" s="335"/>
      <c r="DR65" s="335"/>
      <c r="DS65" s="335"/>
      <c r="DT65" s="335"/>
      <c r="DU65" s="335"/>
      <c r="DV65" s="335"/>
      <c r="DW65" s="335"/>
      <c r="DX65" s="335"/>
      <c r="DY65" s="335"/>
      <c r="DZ65" s="335"/>
      <c r="EA65" s="335"/>
      <c r="EB65" s="335"/>
      <c r="EC65" s="335"/>
      <c r="ED65" s="335"/>
      <c r="EE65" s="335"/>
      <c r="EF65" s="335"/>
      <c r="EG65" s="335"/>
      <c r="EH65" s="335"/>
      <c r="EI65" s="335"/>
      <c r="EJ65" s="335"/>
      <c r="EK65" s="335"/>
      <c r="EL65" s="335"/>
      <c r="EM65" s="335"/>
      <c r="EN65" s="335"/>
      <c r="EO65" s="335"/>
      <c r="EP65" s="335"/>
      <c r="EQ65" s="335"/>
      <c r="ER65" s="335"/>
      <c r="ES65" s="335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35"/>
      <c r="FE65" s="335"/>
      <c r="FF65" s="335"/>
      <c r="FG65" s="335"/>
      <c r="FH65" s="335"/>
      <c r="FI65" s="335"/>
      <c r="FJ65" s="335"/>
      <c r="FK65" s="335"/>
      <c r="FL65" s="335"/>
      <c r="FM65" s="335"/>
      <c r="FN65" s="335"/>
      <c r="FO65" s="335"/>
      <c r="FP65" s="335"/>
      <c r="FQ65" s="335"/>
      <c r="FR65" s="335"/>
      <c r="FS65" s="335"/>
      <c r="FT65" s="335"/>
      <c r="FU65" s="335"/>
      <c r="FV65" s="335"/>
      <c r="FW65" s="335"/>
      <c r="FX65" s="335"/>
      <c r="FY65" s="335"/>
      <c r="FZ65" s="335"/>
      <c r="GA65" s="335"/>
      <c r="GB65" s="335"/>
      <c r="GC65" s="335"/>
      <c r="GD65" s="335"/>
      <c r="GE65" s="335"/>
      <c r="GF65" s="335"/>
      <c r="GG65" s="335"/>
      <c r="GH65" s="335"/>
      <c r="GI65" s="335"/>
      <c r="GJ65" s="335"/>
      <c r="GK65" s="335"/>
      <c r="GL65" s="335"/>
      <c r="GM65" s="335"/>
      <c r="GN65" s="335"/>
      <c r="GO65" s="335"/>
      <c r="GP65" s="335"/>
      <c r="GQ65" s="335"/>
      <c r="GR65" s="335"/>
      <c r="GS65" s="335"/>
      <c r="GT65" s="335"/>
      <c r="GU65" s="335"/>
      <c r="GV65" s="335"/>
      <c r="GW65" s="335"/>
      <c r="GX65" s="335"/>
      <c r="GY65" s="335"/>
      <c r="GZ65" s="335"/>
      <c r="HA65" s="335"/>
      <c r="HB65" s="335"/>
      <c r="HC65" s="335"/>
      <c r="HD65" s="335"/>
      <c r="HE65" s="335"/>
      <c r="HF65" s="335"/>
      <c r="HG65" s="335"/>
      <c r="HH65" s="335"/>
      <c r="HI65" s="335"/>
      <c r="HJ65" s="335"/>
      <c r="HK65" s="335"/>
      <c r="HL65" s="335"/>
      <c r="HM65" s="335"/>
      <c r="HN65" s="335"/>
      <c r="HO65" s="335"/>
      <c r="HP65" s="335"/>
      <c r="HQ65" s="335"/>
      <c r="HR65" s="335"/>
      <c r="HS65" s="335"/>
      <c r="HT65" s="335"/>
      <c r="HU65" s="335"/>
      <c r="HV65" s="335"/>
      <c r="HW65" s="335"/>
      <c r="HX65" s="335"/>
      <c r="HY65" s="335"/>
      <c r="HZ65" s="335"/>
      <c r="IA65" s="335"/>
      <c r="IB65" s="335"/>
      <c r="IC65" s="335"/>
      <c r="ID65" s="335"/>
      <c r="IE65" s="335"/>
      <c r="IF65" s="335"/>
      <c r="IG65" s="335"/>
      <c r="IH65" s="335"/>
      <c r="II65" s="335"/>
      <c r="IJ65" s="335"/>
      <c r="IK65" s="335"/>
      <c r="IL65" s="335"/>
      <c r="IM65" s="335"/>
      <c r="IN65" s="335"/>
      <c r="IO65" s="335"/>
      <c r="IP65" s="335"/>
      <c r="IQ65" s="335"/>
      <c r="IR65" s="335"/>
      <c r="IS65" s="335"/>
    </row>
    <row r="66" spans="1:253" ht="15" customHeight="1">
      <c r="A66" s="330" t="s">
        <v>482</v>
      </c>
      <c r="B66" s="331" t="s">
        <v>484</v>
      </c>
      <c r="C66" s="332">
        <v>2024</v>
      </c>
      <c r="D66" s="333">
        <v>150000</v>
      </c>
      <c r="E66" s="334" t="s">
        <v>421</v>
      </c>
      <c r="F66" s="333">
        <f t="shared" si="1"/>
        <v>150000</v>
      </c>
      <c r="G66" s="333">
        <v>150000</v>
      </c>
      <c r="H66" s="333">
        <v>0</v>
      </c>
      <c r="I66" s="331" t="s">
        <v>483</v>
      </c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  <c r="FT66" s="335"/>
      <c r="FU66" s="335"/>
      <c r="FV66" s="335"/>
      <c r="FW66" s="335"/>
      <c r="FX66" s="335"/>
      <c r="FY66" s="335"/>
      <c r="FZ66" s="335"/>
      <c r="GA66" s="335"/>
      <c r="GB66" s="335"/>
      <c r="GC66" s="335"/>
      <c r="GD66" s="335"/>
      <c r="GE66" s="335"/>
      <c r="GF66" s="335"/>
      <c r="GG66" s="335"/>
      <c r="GH66" s="335"/>
      <c r="GI66" s="335"/>
      <c r="GJ66" s="335"/>
      <c r="GK66" s="335"/>
      <c r="GL66" s="335"/>
      <c r="GM66" s="335"/>
      <c r="GN66" s="335"/>
      <c r="GO66" s="335"/>
      <c r="GP66" s="335"/>
      <c r="GQ66" s="335"/>
      <c r="GR66" s="335"/>
      <c r="GS66" s="335"/>
      <c r="GT66" s="335"/>
      <c r="GU66" s="335"/>
      <c r="GV66" s="335"/>
      <c r="GW66" s="335"/>
      <c r="GX66" s="335"/>
      <c r="GY66" s="335"/>
      <c r="GZ66" s="335"/>
      <c r="HA66" s="335"/>
      <c r="HB66" s="335"/>
      <c r="HC66" s="335"/>
      <c r="HD66" s="335"/>
      <c r="HE66" s="335"/>
      <c r="HF66" s="335"/>
      <c r="HG66" s="335"/>
      <c r="HH66" s="335"/>
      <c r="HI66" s="335"/>
      <c r="HJ66" s="335"/>
      <c r="HK66" s="335"/>
      <c r="HL66" s="335"/>
      <c r="HM66" s="335"/>
      <c r="HN66" s="335"/>
      <c r="HO66" s="335"/>
      <c r="HP66" s="335"/>
      <c r="HQ66" s="335"/>
      <c r="HR66" s="335"/>
      <c r="HS66" s="335"/>
      <c r="HT66" s="335"/>
      <c r="HU66" s="335"/>
      <c r="HV66" s="335"/>
      <c r="HW66" s="335"/>
      <c r="HX66" s="335"/>
      <c r="HY66" s="335"/>
      <c r="HZ66" s="335"/>
      <c r="IA66" s="335"/>
      <c r="IB66" s="335"/>
      <c r="IC66" s="335"/>
      <c r="ID66" s="335"/>
      <c r="IE66" s="335"/>
      <c r="IF66" s="335"/>
      <c r="IG66" s="335"/>
      <c r="IH66" s="335"/>
      <c r="II66" s="335"/>
      <c r="IJ66" s="335"/>
      <c r="IK66" s="335"/>
      <c r="IL66" s="335"/>
      <c r="IM66" s="335"/>
      <c r="IN66" s="335"/>
      <c r="IO66" s="335"/>
      <c r="IP66" s="335"/>
      <c r="IQ66" s="335"/>
      <c r="IR66" s="335"/>
      <c r="IS66" s="335"/>
    </row>
    <row r="67" spans="1:253" ht="15" customHeight="1">
      <c r="A67" s="330" t="s">
        <v>482</v>
      </c>
      <c r="B67" s="331" t="s">
        <v>485</v>
      </c>
      <c r="C67" s="332">
        <v>2024</v>
      </c>
      <c r="D67" s="333">
        <v>55000</v>
      </c>
      <c r="E67" s="334" t="s">
        <v>421</v>
      </c>
      <c r="F67" s="333">
        <f t="shared" si="1"/>
        <v>55000</v>
      </c>
      <c r="G67" s="333">
        <v>55000</v>
      </c>
      <c r="H67" s="333">
        <v>0</v>
      </c>
      <c r="I67" s="331" t="s">
        <v>483</v>
      </c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  <c r="BX67" s="335"/>
      <c r="BY67" s="335"/>
      <c r="BZ67" s="335"/>
      <c r="CA67" s="335"/>
      <c r="CB67" s="335"/>
      <c r="CC67" s="335"/>
      <c r="CD67" s="335"/>
      <c r="CE67" s="335"/>
      <c r="CF67" s="335"/>
      <c r="CG67" s="335"/>
      <c r="CH67" s="335"/>
      <c r="CI67" s="335"/>
      <c r="CJ67" s="335"/>
      <c r="CK67" s="335"/>
      <c r="CL67" s="335"/>
      <c r="CM67" s="335"/>
      <c r="CN67" s="335"/>
      <c r="CO67" s="335"/>
      <c r="CP67" s="335"/>
      <c r="CQ67" s="335"/>
      <c r="CR67" s="335"/>
      <c r="CS67" s="335"/>
      <c r="CT67" s="335"/>
      <c r="CU67" s="335"/>
      <c r="CV67" s="335"/>
      <c r="CW67" s="335"/>
      <c r="CX67" s="335"/>
      <c r="CY67" s="335"/>
      <c r="CZ67" s="335"/>
      <c r="DA67" s="335"/>
      <c r="DB67" s="335"/>
      <c r="DC67" s="335"/>
      <c r="DD67" s="335"/>
      <c r="DE67" s="335"/>
      <c r="DF67" s="335"/>
      <c r="DG67" s="335"/>
      <c r="DH67" s="335"/>
      <c r="DI67" s="335"/>
      <c r="DJ67" s="335"/>
      <c r="DK67" s="335"/>
      <c r="DL67" s="335"/>
      <c r="DM67" s="335"/>
      <c r="DN67" s="335"/>
      <c r="DO67" s="335"/>
      <c r="DP67" s="335"/>
      <c r="DQ67" s="335"/>
      <c r="DR67" s="335"/>
      <c r="DS67" s="335"/>
      <c r="DT67" s="335"/>
      <c r="DU67" s="335"/>
      <c r="DV67" s="335"/>
      <c r="DW67" s="335"/>
      <c r="DX67" s="335"/>
      <c r="DY67" s="335"/>
      <c r="DZ67" s="335"/>
      <c r="EA67" s="335"/>
      <c r="EB67" s="335"/>
      <c r="EC67" s="335"/>
      <c r="ED67" s="335"/>
      <c r="EE67" s="335"/>
      <c r="EF67" s="335"/>
      <c r="EG67" s="335"/>
      <c r="EH67" s="335"/>
      <c r="EI67" s="335"/>
      <c r="EJ67" s="335"/>
      <c r="EK67" s="335"/>
      <c r="EL67" s="335"/>
      <c r="EM67" s="335"/>
      <c r="EN67" s="335"/>
      <c r="EO67" s="335"/>
      <c r="EP67" s="335"/>
      <c r="EQ67" s="335"/>
      <c r="ER67" s="335"/>
      <c r="ES67" s="335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35"/>
      <c r="FE67" s="335"/>
      <c r="FF67" s="335"/>
      <c r="FG67" s="335"/>
      <c r="FH67" s="335"/>
      <c r="FI67" s="335"/>
      <c r="FJ67" s="335"/>
      <c r="FK67" s="335"/>
      <c r="FL67" s="335"/>
      <c r="FM67" s="335"/>
      <c r="FN67" s="335"/>
      <c r="FO67" s="335"/>
      <c r="FP67" s="335"/>
      <c r="FQ67" s="335"/>
      <c r="FR67" s="335"/>
      <c r="FS67" s="335"/>
      <c r="FT67" s="335"/>
      <c r="FU67" s="335"/>
      <c r="FV67" s="335"/>
      <c r="FW67" s="335"/>
      <c r="FX67" s="335"/>
      <c r="FY67" s="335"/>
      <c r="FZ67" s="335"/>
      <c r="GA67" s="335"/>
      <c r="GB67" s="335"/>
      <c r="GC67" s="335"/>
      <c r="GD67" s="335"/>
      <c r="GE67" s="335"/>
      <c r="GF67" s="335"/>
      <c r="GG67" s="335"/>
      <c r="GH67" s="335"/>
      <c r="GI67" s="335"/>
      <c r="GJ67" s="335"/>
      <c r="GK67" s="335"/>
      <c r="GL67" s="335"/>
      <c r="GM67" s="335"/>
      <c r="GN67" s="335"/>
      <c r="GO67" s="335"/>
      <c r="GP67" s="335"/>
      <c r="GQ67" s="335"/>
      <c r="GR67" s="335"/>
      <c r="GS67" s="335"/>
      <c r="GT67" s="335"/>
      <c r="GU67" s="335"/>
      <c r="GV67" s="335"/>
      <c r="GW67" s="335"/>
      <c r="GX67" s="335"/>
      <c r="GY67" s="335"/>
      <c r="GZ67" s="335"/>
      <c r="HA67" s="335"/>
      <c r="HB67" s="335"/>
      <c r="HC67" s="335"/>
      <c r="HD67" s="335"/>
      <c r="HE67" s="335"/>
      <c r="HF67" s="335"/>
      <c r="HG67" s="335"/>
      <c r="HH67" s="335"/>
      <c r="HI67" s="335"/>
      <c r="HJ67" s="335"/>
      <c r="HK67" s="335"/>
      <c r="HL67" s="335"/>
      <c r="HM67" s="335"/>
      <c r="HN67" s="335"/>
      <c r="HO67" s="335"/>
      <c r="HP67" s="335"/>
      <c r="HQ67" s="335"/>
      <c r="HR67" s="335"/>
      <c r="HS67" s="335"/>
      <c r="HT67" s="335"/>
      <c r="HU67" s="335"/>
      <c r="HV67" s="335"/>
      <c r="HW67" s="335"/>
      <c r="HX67" s="335"/>
      <c r="HY67" s="335"/>
      <c r="HZ67" s="335"/>
      <c r="IA67" s="335"/>
      <c r="IB67" s="335"/>
      <c r="IC67" s="335"/>
      <c r="ID67" s="335"/>
      <c r="IE67" s="335"/>
      <c r="IF67" s="335"/>
      <c r="IG67" s="335"/>
      <c r="IH67" s="335"/>
      <c r="II67" s="335"/>
      <c r="IJ67" s="335"/>
      <c r="IK67" s="335"/>
      <c r="IL67" s="335"/>
      <c r="IM67" s="335"/>
      <c r="IN67" s="335"/>
      <c r="IO67" s="335"/>
      <c r="IP67" s="335"/>
      <c r="IQ67" s="335"/>
      <c r="IR67" s="335"/>
      <c r="IS67" s="335"/>
    </row>
    <row r="68" spans="1:253" s="672" customFormat="1" ht="29.1" customHeight="1">
      <c r="A68" s="673" t="s">
        <v>120</v>
      </c>
      <c r="B68" s="674" t="s">
        <v>96</v>
      </c>
      <c r="C68" s="675" t="s">
        <v>421</v>
      </c>
      <c r="D68" s="676">
        <f>D69+D70</f>
        <v>93013</v>
      </c>
      <c r="E68" s="677" t="s">
        <v>421</v>
      </c>
      <c r="F68" s="676">
        <f>F69+F70</f>
        <v>93013</v>
      </c>
      <c r="G68" s="676">
        <f>G69+G70</f>
        <v>93013</v>
      </c>
      <c r="H68" s="676">
        <f>H69+H70</f>
        <v>0</v>
      </c>
      <c r="I68" s="675" t="s">
        <v>421</v>
      </c>
      <c r="J68" s="678"/>
      <c r="K68" s="678"/>
      <c r="L68" s="678"/>
      <c r="M68" s="678"/>
      <c r="N68" s="678"/>
      <c r="O68" s="678"/>
      <c r="P68" s="678"/>
      <c r="Q68" s="678"/>
      <c r="R68" s="678"/>
      <c r="S68" s="678"/>
      <c r="T68" s="678"/>
      <c r="U68" s="678"/>
      <c r="V68" s="678"/>
      <c r="W68" s="678"/>
      <c r="X68" s="678"/>
      <c r="Y68" s="678"/>
      <c r="Z68" s="678"/>
      <c r="AA68" s="678"/>
      <c r="AB68" s="678"/>
      <c r="AC68" s="678"/>
      <c r="AD68" s="678"/>
      <c r="AE68" s="678"/>
      <c r="AF68" s="678"/>
      <c r="AG68" s="678"/>
      <c r="AH68" s="678"/>
      <c r="AI68" s="678"/>
      <c r="AJ68" s="678"/>
      <c r="AK68" s="678"/>
      <c r="AL68" s="678"/>
      <c r="AM68" s="678"/>
      <c r="AN68" s="678"/>
      <c r="AO68" s="678"/>
      <c r="AP68" s="678"/>
      <c r="AQ68" s="678"/>
      <c r="AR68" s="678"/>
      <c r="AS68" s="678"/>
      <c r="AT68" s="678"/>
      <c r="AU68" s="678"/>
      <c r="AV68" s="678"/>
      <c r="AW68" s="678"/>
      <c r="AX68" s="678"/>
      <c r="AY68" s="678"/>
      <c r="AZ68" s="678"/>
      <c r="BA68" s="678"/>
      <c r="BB68" s="678"/>
      <c r="BC68" s="678"/>
      <c r="BD68" s="678"/>
      <c r="BE68" s="678"/>
      <c r="BF68" s="678"/>
      <c r="BG68" s="678"/>
      <c r="BH68" s="678"/>
      <c r="BI68" s="678"/>
      <c r="BJ68" s="678"/>
      <c r="BK68" s="678"/>
      <c r="BL68" s="678"/>
      <c r="BM68" s="678"/>
      <c r="BN68" s="678"/>
      <c r="BO68" s="678"/>
      <c r="BP68" s="678"/>
      <c r="BQ68" s="678"/>
      <c r="BR68" s="678"/>
      <c r="BS68" s="678"/>
      <c r="BT68" s="678"/>
      <c r="BU68" s="678"/>
      <c r="BV68" s="678"/>
      <c r="BW68" s="678"/>
      <c r="BX68" s="678"/>
      <c r="BY68" s="678"/>
      <c r="BZ68" s="678"/>
      <c r="CA68" s="678"/>
      <c r="CB68" s="678"/>
      <c r="CC68" s="678"/>
      <c r="CD68" s="678"/>
      <c r="CE68" s="678"/>
      <c r="CF68" s="678"/>
      <c r="CG68" s="678"/>
      <c r="CH68" s="678"/>
      <c r="CI68" s="678"/>
      <c r="CJ68" s="678"/>
      <c r="CK68" s="678"/>
      <c r="CL68" s="678"/>
      <c r="CM68" s="678"/>
      <c r="CN68" s="678"/>
      <c r="CO68" s="678"/>
      <c r="CP68" s="678"/>
      <c r="CQ68" s="678"/>
      <c r="CR68" s="678"/>
      <c r="CS68" s="678"/>
      <c r="CT68" s="678"/>
      <c r="CU68" s="678"/>
      <c r="CV68" s="678"/>
      <c r="CW68" s="678"/>
      <c r="CX68" s="678"/>
      <c r="CY68" s="678"/>
      <c r="CZ68" s="678"/>
      <c r="DA68" s="678"/>
      <c r="DB68" s="678"/>
      <c r="DC68" s="678"/>
      <c r="DD68" s="678"/>
      <c r="DE68" s="678"/>
      <c r="DF68" s="678"/>
      <c r="DG68" s="678"/>
      <c r="DH68" s="678"/>
      <c r="DI68" s="678"/>
      <c r="DJ68" s="678"/>
      <c r="DK68" s="678"/>
      <c r="DL68" s="678"/>
      <c r="DM68" s="678"/>
      <c r="DN68" s="678"/>
      <c r="DO68" s="678"/>
      <c r="DP68" s="678"/>
      <c r="DQ68" s="678"/>
      <c r="DR68" s="678"/>
      <c r="DS68" s="678"/>
      <c r="DT68" s="678"/>
      <c r="DU68" s="678"/>
      <c r="DV68" s="678"/>
      <c r="DW68" s="678"/>
      <c r="DX68" s="678"/>
      <c r="DY68" s="678"/>
      <c r="DZ68" s="678"/>
      <c r="EA68" s="678"/>
      <c r="EB68" s="678"/>
      <c r="EC68" s="678"/>
      <c r="ED68" s="678"/>
      <c r="EE68" s="678"/>
      <c r="EF68" s="678"/>
      <c r="EG68" s="678"/>
      <c r="EH68" s="678"/>
      <c r="EI68" s="678"/>
      <c r="EJ68" s="678"/>
      <c r="EK68" s="678"/>
      <c r="EL68" s="678"/>
      <c r="EM68" s="678"/>
      <c r="EN68" s="678"/>
      <c r="EO68" s="678"/>
      <c r="EP68" s="678"/>
      <c r="EQ68" s="678"/>
      <c r="ER68" s="678"/>
      <c r="ES68" s="678"/>
      <c r="ET68" s="678"/>
      <c r="EU68" s="678"/>
      <c r="EV68" s="678"/>
      <c r="EW68" s="678"/>
      <c r="EX68" s="678"/>
      <c r="EY68" s="678"/>
      <c r="EZ68" s="678"/>
      <c r="FA68" s="678"/>
      <c r="FB68" s="678"/>
      <c r="FC68" s="678"/>
      <c r="FD68" s="678"/>
      <c r="FE68" s="678"/>
      <c r="FF68" s="678"/>
      <c r="FG68" s="678"/>
      <c r="FH68" s="678"/>
      <c r="FI68" s="678"/>
      <c r="FJ68" s="678"/>
      <c r="FK68" s="678"/>
      <c r="FL68" s="678"/>
      <c r="FM68" s="678"/>
      <c r="FN68" s="678"/>
      <c r="FO68" s="678"/>
      <c r="FP68" s="678"/>
      <c r="FQ68" s="678"/>
      <c r="FR68" s="678"/>
      <c r="FS68" s="678"/>
      <c r="FT68" s="678"/>
      <c r="FU68" s="678"/>
      <c r="FV68" s="678"/>
      <c r="FW68" s="678"/>
      <c r="FX68" s="678"/>
      <c r="FY68" s="678"/>
      <c r="FZ68" s="678"/>
      <c r="GA68" s="678"/>
      <c r="GB68" s="678"/>
      <c r="GC68" s="678"/>
      <c r="GD68" s="678"/>
      <c r="GE68" s="678"/>
      <c r="GF68" s="678"/>
      <c r="GG68" s="678"/>
      <c r="GH68" s="678"/>
      <c r="GI68" s="678"/>
      <c r="GJ68" s="678"/>
      <c r="GK68" s="678"/>
      <c r="GL68" s="678"/>
      <c r="GM68" s="678"/>
      <c r="GN68" s="678"/>
      <c r="GO68" s="678"/>
      <c r="GP68" s="678"/>
      <c r="GQ68" s="678"/>
      <c r="GR68" s="678"/>
      <c r="GS68" s="678"/>
      <c r="GT68" s="678"/>
      <c r="GU68" s="678"/>
      <c r="GV68" s="678"/>
      <c r="GW68" s="678"/>
      <c r="GX68" s="678"/>
      <c r="GY68" s="678"/>
      <c r="GZ68" s="678"/>
      <c r="HA68" s="678"/>
      <c r="HB68" s="678"/>
      <c r="HC68" s="678"/>
      <c r="HD68" s="678"/>
      <c r="HE68" s="678"/>
      <c r="HF68" s="678"/>
      <c r="HG68" s="678"/>
      <c r="HH68" s="678"/>
      <c r="HI68" s="678"/>
      <c r="HJ68" s="678"/>
      <c r="HK68" s="678"/>
      <c r="HL68" s="678"/>
      <c r="HM68" s="678"/>
      <c r="HN68" s="678"/>
      <c r="HO68" s="678"/>
      <c r="HP68" s="678"/>
      <c r="HQ68" s="678"/>
      <c r="HR68" s="678"/>
      <c r="HS68" s="678"/>
      <c r="HT68" s="678"/>
      <c r="HU68" s="678"/>
      <c r="HV68" s="678"/>
      <c r="HW68" s="678"/>
      <c r="HX68" s="678"/>
      <c r="HY68" s="678"/>
      <c r="HZ68" s="678"/>
      <c r="IA68" s="678"/>
      <c r="IB68" s="678"/>
      <c r="IC68" s="678"/>
      <c r="ID68" s="678"/>
      <c r="IE68" s="678"/>
      <c r="IF68" s="678"/>
      <c r="IG68" s="678"/>
      <c r="IH68" s="678"/>
      <c r="II68" s="678"/>
      <c r="IJ68" s="678"/>
      <c r="IK68" s="678"/>
      <c r="IL68" s="678"/>
      <c r="IM68" s="678"/>
      <c r="IN68" s="678"/>
      <c r="IO68" s="678"/>
      <c r="IP68" s="678"/>
      <c r="IQ68" s="678"/>
      <c r="IR68" s="678"/>
      <c r="IS68" s="678"/>
    </row>
    <row r="69" spans="1:253" ht="15" customHeight="1">
      <c r="A69" s="330" t="s">
        <v>486</v>
      </c>
      <c r="B69" s="331" t="s">
        <v>487</v>
      </c>
      <c r="C69" s="332">
        <v>2024</v>
      </c>
      <c r="D69" s="333">
        <v>15252</v>
      </c>
      <c r="E69" s="334" t="s">
        <v>421</v>
      </c>
      <c r="F69" s="333">
        <f>G69+H69</f>
        <v>15252</v>
      </c>
      <c r="G69" s="333">
        <v>15252</v>
      </c>
      <c r="H69" s="333">
        <v>0</v>
      </c>
      <c r="I69" s="331" t="s">
        <v>488</v>
      </c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35"/>
      <c r="CY69" s="335"/>
      <c r="CZ69" s="335"/>
      <c r="DA69" s="335"/>
      <c r="DB69" s="335"/>
      <c r="DC69" s="335"/>
      <c r="DD69" s="335"/>
      <c r="DE69" s="335"/>
      <c r="DF69" s="335"/>
      <c r="DG69" s="335"/>
      <c r="DH69" s="335"/>
      <c r="DI69" s="335"/>
      <c r="DJ69" s="335"/>
      <c r="DK69" s="335"/>
      <c r="DL69" s="335"/>
      <c r="DM69" s="335"/>
      <c r="DN69" s="335"/>
      <c r="DO69" s="335"/>
      <c r="DP69" s="335"/>
      <c r="DQ69" s="335"/>
      <c r="DR69" s="335"/>
      <c r="DS69" s="335"/>
      <c r="DT69" s="335"/>
      <c r="DU69" s="335"/>
      <c r="DV69" s="335"/>
      <c r="DW69" s="335"/>
      <c r="DX69" s="335"/>
      <c r="DY69" s="335"/>
      <c r="DZ69" s="335"/>
      <c r="EA69" s="335"/>
      <c r="EB69" s="335"/>
      <c r="EC69" s="335"/>
      <c r="ED69" s="335"/>
      <c r="EE69" s="335"/>
      <c r="EF69" s="335"/>
      <c r="EG69" s="335"/>
      <c r="EH69" s="335"/>
      <c r="EI69" s="335"/>
      <c r="EJ69" s="335"/>
      <c r="EK69" s="335"/>
      <c r="EL69" s="335"/>
      <c r="EM69" s="335"/>
      <c r="EN69" s="335"/>
      <c r="EO69" s="335"/>
      <c r="EP69" s="335"/>
      <c r="EQ69" s="335"/>
      <c r="ER69" s="335"/>
      <c r="ES69" s="335"/>
      <c r="ET69" s="335"/>
      <c r="EU69" s="335"/>
      <c r="EV69" s="335"/>
      <c r="EW69" s="335"/>
      <c r="EX69" s="335"/>
      <c r="EY69" s="335"/>
      <c r="EZ69" s="335"/>
      <c r="FA69" s="335"/>
      <c r="FB69" s="335"/>
      <c r="FC69" s="335"/>
      <c r="FD69" s="335"/>
      <c r="FE69" s="335"/>
      <c r="FF69" s="335"/>
      <c r="FG69" s="335"/>
      <c r="FH69" s="335"/>
      <c r="FI69" s="335"/>
      <c r="FJ69" s="335"/>
      <c r="FK69" s="335"/>
      <c r="FL69" s="335"/>
      <c r="FM69" s="335"/>
      <c r="FN69" s="335"/>
      <c r="FO69" s="335"/>
      <c r="FP69" s="335"/>
      <c r="FQ69" s="335"/>
      <c r="FR69" s="335"/>
      <c r="FS69" s="335"/>
      <c r="FT69" s="335"/>
      <c r="FU69" s="335"/>
      <c r="FV69" s="335"/>
      <c r="FW69" s="335"/>
      <c r="FX69" s="335"/>
      <c r="FY69" s="335"/>
      <c r="FZ69" s="335"/>
      <c r="GA69" s="335"/>
      <c r="GB69" s="335"/>
      <c r="GC69" s="335"/>
      <c r="GD69" s="335"/>
      <c r="GE69" s="335"/>
      <c r="GF69" s="335"/>
      <c r="GG69" s="335"/>
      <c r="GH69" s="335"/>
      <c r="GI69" s="335"/>
      <c r="GJ69" s="335"/>
      <c r="GK69" s="335"/>
      <c r="GL69" s="335"/>
      <c r="GM69" s="335"/>
      <c r="GN69" s="335"/>
      <c r="GO69" s="335"/>
      <c r="GP69" s="335"/>
      <c r="GQ69" s="335"/>
      <c r="GR69" s="335"/>
      <c r="GS69" s="335"/>
      <c r="GT69" s="335"/>
      <c r="GU69" s="335"/>
      <c r="GV69" s="335"/>
      <c r="GW69" s="335"/>
      <c r="GX69" s="335"/>
      <c r="GY69" s="335"/>
      <c r="GZ69" s="335"/>
      <c r="HA69" s="335"/>
      <c r="HB69" s="335"/>
      <c r="HC69" s="335"/>
      <c r="HD69" s="335"/>
      <c r="HE69" s="335"/>
      <c r="HF69" s="335"/>
      <c r="HG69" s="335"/>
      <c r="HH69" s="335"/>
      <c r="HI69" s="335"/>
      <c r="HJ69" s="335"/>
      <c r="HK69" s="335"/>
      <c r="HL69" s="335"/>
      <c r="HM69" s="335"/>
      <c r="HN69" s="335"/>
      <c r="HO69" s="335"/>
      <c r="HP69" s="335"/>
      <c r="HQ69" s="335"/>
      <c r="HR69" s="335"/>
      <c r="HS69" s="335"/>
      <c r="HT69" s="335"/>
      <c r="HU69" s="335"/>
      <c r="HV69" s="335"/>
      <c r="HW69" s="335"/>
      <c r="HX69" s="335"/>
      <c r="HY69" s="335"/>
      <c r="HZ69" s="335"/>
      <c r="IA69" s="335"/>
      <c r="IB69" s="335"/>
      <c r="IC69" s="335"/>
      <c r="ID69" s="335"/>
      <c r="IE69" s="335"/>
      <c r="IF69" s="335"/>
      <c r="IG69" s="335"/>
      <c r="IH69" s="335"/>
      <c r="II69" s="335"/>
      <c r="IJ69" s="335"/>
      <c r="IK69" s="335"/>
      <c r="IL69" s="335"/>
      <c r="IM69" s="335"/>
      <c r="IN69" s="335"/>
      <c r="IO69" s="335"/>
      <c r="IP69" s="335"/>
      <c r="IQ69" s="335"/>
      <c r="IR69" s="335"/>
      <c r="IS69" s="335"/>
    </row>
    <row r="70" spans="1:253" s="672" customFormat="1" ht="29.1" customHeight="1">
      <c r="A70" s="667" t="s">
        <v>486</v>
      </c>
      <c r="B70" s="668" t="s">
        <v>489</v>
      </c>
      <c r="C70" s="669">
        <v>2024</v>
      </c>
      <c r="D70" s="670">
        <v>77761</v>
      </c>
      <c r="E70" s="671" t="s">
        <v>421</v>
      </c>
      <c r="F70" s="670">
        <f>G70+H70</f>
        <v>77761</v>
      </c>
      <c r="G70" s="670">
        <v>77761</v>
      </c>
      <c r="H70" s="670">
        <v>0</v>
      </c>
      <c r="I70" s="668" t="s">
        <v>490</v>
      </c>
    </row>
    <row r="71" spans="1:253" ht="15" customHeight="1">
      <c r="A71" s="324" t="s">
        <v>491</v>
      </c>
      <c r="B71" s="336" t="s">
        <v>492</v>
      </c>
      <c r="C71" s="326" t="s">
        <v>421</v>
      </c>
      <c r="D71" s="327">
        <f>D72+D73+D74+D75</f>
        <v>10500000</v>
      </c>
      <c r="E71" s="328" t="s">
        <v>421</v>
      </c>
      <c r="F71" s="327">
        <f>F72+F73+F74+F75</f>
        <v>10500000</v>
      </c>
      <c r="G71" s="327">
        <f>G72+G73+G74+G75</f>
        <v>10500000</v>
      </c>
      <c r="H71" s="327">
        <f>H72+H73+H74+H75</f>
        <v>0</v>
      </c>
      <c r="I71" s="326" t="s">
        <v>421</v>
      </c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29"/>
      <c r="BE71" s="329"/>
      <c r="BF71" s="329"/>
      <c r="BG71" s="329"/>
      <c r="BH71" s="329"/>
      <c r="BI71" s="329"/>
      <c r="BJ71" s="329"/>
      <c r="BK71" s="329"/>
      <c r="BL71" s="329"/>
      <c r="BM71" s="329"/>
      <c r="BN71" s="329"/>
      <c r="BO71" s="329"/>
      <c r="BP71" s="329"/>
      <c r="BQ71" s="329"/>
      <c r="BR71" s="329"/>
      <c r="BS71" s="329"/>
      <c r="BT71" s="329"/>
      <c r="BU71" s="329"/>
      <c r="BV71" s="329"/>
      <c r="BW71" s="329"/>
      <c r="BX71" s="329"/>
      <c r="BY71" s="329"/>
      <c r="BZ71" s="329"/>
      <c r="CA71" s="329"/>
      <c r="CB71" s="329"/>
      <c r="CC71" s="329"/>
      <c r="CD71" s="329"/>
      <c r="CE71" s="329"/>
      <c r="CF71" s="329"/>
      <c r="CG71" s="329"/>
      <c r="CH71" s="329"/>
      <c r="CI71" s="329"/>
      <c r="CJ71" s="329"/>
      <c r="CK71" s="329"/>
      <c r="CL71" s="329"/>
      <c r="CM71" s="329"/>
      <c r="CN71" s="329"/>
      <c r="CO71" s="329"/>
      <c r="CP71" s="329"/>
      <c r="CQ71" s="329"/>
      <c r="CR71" s="329"/>
      <c r="CS71" s="329"/>
      <c r="CT71" s="329"/>
      <c r="CU71" s="329"/>
      <c r="CV71" s="329"/>
      <c r="CW71" s="329"/>
      <c r="CX71" s="329"/>
      <c r="CY71" s="329"/>
      <c r="CZ71" s="329"/>
      <c r="DA71" s="329"/>
      <c r="DB71" s="329"/>
      <c r="DC71" s="329"/>
      <c r="DD71" s="329"/>
      <c r="DE71" s="329"/>
      <c r="DF71" s="329"/>
      <c r="DG71" s="329"/>
      <c r="DH71" s="329"/>
      <c r="DI71" s="329"/>
      <c r="DJ71" s="329"/>
      <c r="DK71" s="329"/>
      <c r="DL71" s="329"/>
      <c r="DM71" s="329"/>
      <c r="DN71" s="329"/>
      <c r="DO71" s="329"/>
      <c r="DP71" s="329"/>
      <c r="DQ71" s="329"/>
      <c r="DR71" s="329"/>
      <c r="DS71" s="329"/>
      <c r="DT71" s="329"/>
      <c r="DU71" s="329"/>
      <c r="DV71" s="329"/>
      <c r="DW71" s="329"/>
      <c r="DX71" s="329"/>
      <c r="DY71" s="329"/>
      <c r="DZ71" s="329"/>
      <c r="EA71" s="329"/>
      <c r="EB71" s="329"/>
      <c r="EC71" s="329"/>
      <c r="ED71" s="329"/>
      <c r="EE71" s="329"/>
      <c r="EF71" s="329"/>
      <c r="EG71" s="329"/>
      <c r="EH71" s="329"/>
      <c r="EI71" s="329"/>
      <c r="EJ71" s="329"/>
      <c r="EK71" s="329"/>
      <c r="EL71" s="329"/>
      <c r="EM71" s="329"/>
      <c r="EN71" s="329"/>
      <c r="EO71" s="329"/>
      <c r="EP71" s="329"/>
      <c r="EQ71" s="329"/>
      <c r="ER71" s="329"/>
      <c r="ES71" s="329"/>
      <c r="ET71" s="329"/>
      <c r="EU71" s="329"/>
      <c r="EV71" s="329"/>
      <c r="EW71" s="329"/>
      <c r="EX71" s="329"/>
      <c r="EY71" s="329"/>
      <c r="EZ71" s="329"/>
      <c r="FA71" s="329"/>
      <c r="FB71" s="329"/>
      <c r="FC71" s="329"/>
      <c r="FD71" s="329"/>
      <c r="FE71" s="329"/>
      <c r="FF71" s="329"/>
      <c r="FG71" s="329"/>
      <c r="FH71" s="329"/>
      <c r="FI71" s="329"/>
      <c r="FJ71" s="329"/>
      <c r="FK71" s="329"/>
      <c r="FL71" s="329"/>
      <c r="FM71" s="329"/>
      <c r="FN71" s="329"/>
      <c r="FO71" s="329"/>
      <c r="FP71" s="329"/>
      <c r="FQ71" s="329"/>
      <c r="FR71" s="329"/>
      <c r="FS71" s="329"/>
      <c r="FT71" s="329"/>
      <c r="FU71" s="329"/>
      <c r="FV71" s="329"/>
      <c r="FW71" s="329"/>
      <c r="FX71" s="329"/>
      <c r="FY71" s="329"/>
      <c r="FZ71" s="329"/>
      <c r="GA71" s="329"/>
      <c r="GB71" s="329"/>
      <c r="GC71" s="329"/>
      <c r="GD71" s="329"/>
      <c r="GE71" s="329"/>
      <c r="GF71" s="329"/>
      <c r="GG71" s="329"/>
      <c r="GH71" s="329"/>
      <c r="GI71" s="329"/>
      <c r="GJ71" s="329"/>
      <c r="GK71" s="329"/>
      <c r="GL71" s="329"/>
      <c r="GM71" s="329"/>
      <c r="GN71" s="329"/>
      <c r="GO71" s="329"/>
      <c r="GP71" s="329"/>
      <c r="GQ71" s="329"/>
      <c r="GR71" s="329"/>
      <c r="GS71" s="329"/>
      <c r="GT71" s="329"/>
      <c r="GU71" s="329"/>
      <c r="GV71" s="329"/>
      <c r="GW71" s="329"/>
      <c r="GX71" s="329"/>
      <c r="GY71" s="329"/>
      <c r="GZ71" s="329"/>
      <c r="HA71" s="329"/>
      <c r="HB71" s="329"/>
      <c r="HC71" s="329"/>
      <c r="HD71" s="329"/>
      <c r="HE71" s="329"/>
      <c r="HF71" s="329"/>
      <c r="HG71" s="329"/>
      <c r="HH71" s="329"/>
      <c r="HI71" s="329"/>
      <c r="HJ71" s="329"/>
      <c r="HK71" s="329"/>
      <c r="HL71" s="329"/>
      <c r="HM71" s="329"/>
      <c r="HN71" s="329"/>
      <c r="HO71" s="329"/>
      <c r="HP71" s="329"/>
      <c r="HQ71" s="329"/>
      <c r="HR71" s="329"/>
      <c r="HS71" s="329"/>
      <c r="HT71" s="329"/>
      <c r="HU71" s="329"/>
      <c r="HV71" s="329"/>
      <c r="HW71" s="329"/>
      <c r="HX71" s="329"/>
      <c r="HY71" s="329"/>
      <c r="HZ71" s="329"/>
      <c r="IA71" s="329"/>
      <c r="IB71" s="329"/>
      <c r="IC71" s="329"/>
      <c r="ID71" s="329"/>
      <c r="IE71" s="329"/>
      <c r="IF71" s="329"/>
      <c r="IG71" s="329"/>
      <c r="IH71" s="329"/>
      <c r="II71" s="329"/>
      <c r="IJ71" s="329"/>
      <c r="IK71" s="329"/>
      <c r="IL71" s="329"/>
      <c r="IM71" s="329"/>
      <c r="IN71" s="329"/>
      <c r="IO71" s="329"/>
      <c r="IP71" s="329"/>
      <c r="IQ71" s="329"/>
      <c r="IR71" s="329"/>
      <c r="IS71" s="329"/>
    </row>
    <row r="72" spans="1:253" s="672" customFormat="1" ht="29.1" customHeight="1">
      <c r="A72" s="667" t="s">
        <v>493</v>
      </c>
      <c r="B72" s="668" t="s">
        <v>494</v>
      </c>
      <c r="C72" s="669">
        <v>2024</v>
      </c>
      <c r="D72" s="670">
        <v>4700000</v>
      </c>
      <c r="E72" s="671" t="s">
        <v>421</v>
      </c>
      <c r="F72" s="670">
        <f>G72+H72</f>
        <v>4700000</v>
      </c>
      <c r="G72" s="670">
        <v>4700000</v>
      </c>
      <c r="H72" s="670">
        <v>0</v>
      </c>
      <c r="I72" s="668" t="s">
        <v>424</v>
      </c>
    </row>
    <row r="73" spans="1:253" ht="15" customHeight="1">
      <c r="A73" s="330" t="s">
        <v>493</v>
      </c>
      <c r="B73" s="331" t="s">
        <v>495</v>
      </c>
      <c r="C73" s="332">
        <v>2024</v>
      </c>
      <c r="D73" s="333">
        <v>300000</v>
      </c>
      <c r="E73" s="334" t="s">
        <v>421</v>
      </c>
      <c r="F73" s="333">
        <f>G73+H73</f>
        <v>300000</v>
      </c>
      <c r="G73" s="333">
        <v>300000</v>
      </c>
      <c r="H73" s="333">
        <v>0</v>
      </c>
      <c r="I73" s="331" t="s">
        <v>424</v>
      </c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5"/>
      <c r="AL73" s="335"/>
      <c r="AM73" s="335"/>
      <c r="AN73" s="335"/>
      <c r="AO73" s="335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335"/>
      <c r="BU73" s="335"/>
      <c r="BV73" s="335"/>
      <c r="BW73" s="335"/>
      <c r="BX73" s="335"/>
      <c r="BY73" s="335"/>
      <c r="BZ73" s="335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  <c r="CU73" s="335"/>
      <c r="CV73" s="335"/>
      <c r="CW73" s="335"/>
      <c r="CX73" s="335"/>
      <c r="CY73" s="335"/>
      <c r="CZ73" s="335"/>
      <c r="DA73" s="335"/>
      <c r="DB73" s="335"/>
      <c r="DC73" s="335"/>
      <c r="DD73" s="335"/>
      <c r="DE73" s="335"/>
      <c r="DF73" s="335"/>
      <c r="DG73" s="335"/>
      <c r="DH73" s="335"/>
      <c r="DI73" s="335"/>
      <c r="DJ73" s="335"/>
      <c r="DK73" s="335"/>
      <c r="DL73" s="335"/>
      <c r="DM73" s="335"/>
      <c r="DN73" s="335"/>
      <c r="DO73" s="335"/>
      <c r="DP73" s="335"/>
      <c r="DQ73" s="335"/>
      <c r="DR73" s="335"/>
      <c r="DS73" s="335"/>
      <c r="DT73" s="335"/>
      <c r="DU73" s="335"/>
      <c r="DV73" s="335"/>
      <c r="DW73" s="335"/>
      <c r="DX73" s="335"/>
      <c r="DY73" s="335"/>
      <c r="DZ73" s="335"/>
      <c r="EA73" s="335"/>
      <c r="EB73" s="335"/>
      <c r="EC73" s="335"/>
      <c r="ED73" s="335"/>
      <c r="EE73" s="335"/>
      <c r="EF73" s="335"/>
      <c r="EG73" s="335"/>
      <c r="EH73" s="335"/>
      <c r="EI73" s="335"/>
      <c r="EJ73" s="335"/>
      <c r="EK73" s="335"/>
      <c r="EL73" s="335"/>
      <c r="EM73" s="335"/>
      <c r="EN73" s="335"/>
      <c r="EO73" s="335"/>
      <c r="EP73" s="335"/>
      <c r="EQ73" s="335"/>
      <c r="ER73" s="335"/>
      <c r="ES73" s="335"/>
      <c r="ET73" s="335"/>
      <c r="EU73" s="335"/>
      <c r="EV73" s="335"/>
      <c r="EW73" s="335"/>
      <c r="EX73" s="335"/>
      <c r="EY73" s="335"/>
      <c r="EZ73" s="335"/>
      <c r="FA73" s="335"/>
      <c r="FB73" s="335"/>
      <c r="FC73" s="335"/>
      <c r="FD73" s="335"/>
      <c r="FE73" s="335"/>
      <c r="FF73" s="335"/>
      <c r="FG73" s="335"/>
      <c r="FH73" s="335"/>
      <c r="FI73" s="335"/>
      <c r="FJ73" s="335"/>
      <c r="FK73" s="335"/>
      <c r="FL73" s="335"/>
      <c r="FM73" s="335"/>
      <c r="FN73" s="335"/>
      <c r="FO73" s="335"/>
      <c r="FP73" s="335"/>
      <c r="FQ73" s="335"/>
      <c r="FR73" s="335"/>
      <c r="FS73" s="335"/>
      <c r="FT73" s="335"/>
      <c r="FU73" s="335"/>
      <c r="FV73" s="335"/>
      <c r="FW73" s="335"/>
      <c r="FX73" s="335"/>
      <c r="FY73" s="335"/>
      <c r="FZ73" s="335"/>
      <c r="GA73" s="335"/>
      <c r="GB73" s="335"/>
      <c r="GC73" s="335"/>
      <c r="GD73" s="335"/>
      <c r="GE73" s="335"/>
      <c r="GF73" s="335"/>
      <c r="GG73" s="335"/>
      <c r="GH73" s="335"/>
      <c r="GI73" s="335"/>
      <c r="GJ73" s="335"/>
      <c r="GK73" s="335"/>
      <c r="GL73" s="335"/>
      <c r="GM73" s="335"/>
      <c r="GN73" s="335"/>
      <c r="GO73" s="335"/>
      <c r="GP73" s="335"/>
      <c r="GQ73" s="335"/>
      <c r="GR73" s="335"/>
      <c r="GS73" s="335"/>
      <c r="GT73" s="335"/>
      <c r="GU73" s="335"/>
      <c r="GV73" s="335"/>
      <c r="GW73" s="335"/>
      <c r="GX73" s="335"/>
      <c r="GY73" s="335"/>
      <c r="GZ73" s="335"/>
      <c r="HA73" s="335"/>
      <c r="HB73" s="335"/>
      <c r="HC73" s="335"/>
      <c r="HD73" s="335"/>
      <c r="HE73" s="335"/>
      <c r="HF73" s="335"/>
      <c r="HG73" s="335"/>
      <c r="HH73" s="335"/>
      <c r="HI73" s="335"/>
      <c r="HJ73" s="335"/>
      <c r="HK73" s="335"/>
      <c r="HL73" s="335"/>
      <c r="HM73" s="335"/>
      <c r="HN73" s="335"/>
      <c r="HO73" s="335"/>
      <c r="HP73" s="335"/>
      <c r="HQ73" s="335"/>
      <c r="HR73" s="335"/>
      <c r="HS73" s="335"/>
      <c r="HT73" s="335"/>
      <c r="HU73" s="335"/>
      <c r="HV73" s="335"/>
      <c r="HW73" s="335"/>
      <c r="HX73" s="335"/>
      <c r="HY73" s="335"/>
      <c r="HZ73" s="335"/>
      <c r="IA73" s="335"/>
      <c r="IB73" s="335"/>
      <c r="IC73" s="335"/>
      <c r="ID73" s="335"/>
      <c r="IE73" s="335"/>
      <c r="IF73" s="335"/>
      <c r="IG73" s="335"/>
      <c r="IH73" s="335"/>
      <c r="II73" s="335"/>
      <c r="IJ73" s="335"/>
      <c r="IK73" s="335"/>
      <c r="IL73" s="335"/>
      <c r="IM73" s="335"/>
      <c r="IN73" s="335"/>
      <c r="IO73" s="335"/>
      <c r="IP73" s="335"/>
      <c r="IQ73" s="335"/>
      <c r="IR73" s="335"/>
      <c r="IS73" s="335"/>
    </row>
    <row r="74" spans="1:253" ht="15" customHeight="1">
      <c r="A74" s="330" t="s">
        <v>493</v>
      </c>
      <c r="B74" s="331" t="s">
        <v>496</v>
      </c>
      <c r="C74" s="332">
        <v>2024</v>
      </c>
      <c r="D74" s="333">
        <v>1000000</v>
      </c>
      <c r="E74" s="334" t="s">
        <v>421</v>
      </c>
      <c r="F74" s="333">
        <f>G74+H74</f>
        <v>1000000</v>
      </c>
      <c r="G74" s="333">
        <v>1000000</v>
      </c>
      <c r="H74" s="333">
        <v>0</v>
      </c>
      <c r="I74" s="331" t="s">
        <v>424</v>
      </c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335"/>
      <c r="AH74" s="335"/>
      <c r="AI74" s="335"/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5"/>
      <c r="BT74" s="335"/>
      <c r="BU74" s="335"/>
      <c r="BV74" s="335"/>
      <c r="BW74" s="335"/>
      <c r="BX74" s="335"/>
      <c r="BY74" s="335"/>
      <c r="BZ74" s="335"/>
      <c r="CA74" s="335"/>
      <c r="CB74" s="335"/>
      <c r="CC74" s="335"/>
      <c r="CD74" s="335"/>
      <c r="CE74" s="335"/>
      <c r="CF74" s="335"/>
      <c r="CG74" s="335"/>
      <c r="CH74" s="335"/>
      <c r="CI74" s="335"/>
      <c r="CJ74" s="335"/>
      <c r="CK74" s="335"/>
      <c r="CL74" s="335"/>
      <c r="CM74" s="335"/>
      <c r="CN74" s="335"/>
      <c r="CO74" s="335"/>
      <c r="CP74" s="335"/>
      <c r="CQ74" s="335"/>
      <c r="CR74" s="335"/>
      <c r="CS74" s="335"/>
      <c r="CT74" s="335"/>
      <c r="CU74" s="335"/>
      <c r="CV74" s="335"/>
      <c r="CW74" s="335"/>
      <c r="CX74" s="335"/>
      <c r="CY74" s="335"/>
      <c r="CZ74" s="335"/>
      <c r="DA74" s="335"/>
      <c r="DB74" s="335"/>
      <c r="DC74" s="335"/>
      <c r="DD74" s="335"/>
      <c r="DE74" s="335"/>
      <c r="DF74" s="335"/>
      <c r="DG74" s="335"/>
      <c r="DH74" s="335"/>
      <c r="DI74" s="335"/>
      <c r="DJ74" s="335"/>
      <c r="DK74" s="335"/>
      <c r="DL74" s="335"/>
      <c r="DM74" s="335"/>
      <c r="DN74" s="335"/>
      <c r="DO74" s="335"/>
      <c r="DP74" s="335"/>
      <c r="DQ74" s="335"/>
      <c r="DR74" s="335"/>
      <c r="DS74" s="335"/>
      <c r="DT74" s="335"/>
      <c r="DU74" s="335"/>
      <c r="DV74" s="335"/>
      <c r="DW74" s="335"/>
      <c r="DX74" s="335"/>
      <c r="DY74" s="335"/>
      <c r="DZ74" s="335"/>
      <c r="EA74" s="335"/>
      <c r="EB74" s="335"/>
      <c r="EC74" s="335"/>
      <c r="ED74" s="335"/>
      <c r="EE74" s="335"/>
      <c r="EF74" s="335"/>
      <c r="EG74" s="335"/>
      <c r="EH74" s="335"/>
      <c r="EI74" s="335"/>
      <c r="EJ74" s="335"/>
      <c r="EK74" s="335"/>
      <c r="EL74" s="335"/>
      <c r="EM74" s="335"/>
      <c r="EN74" s="335"/>
      <c r="EO74" s="335"/>
      <c r="EP74" s="335"/>
      <c r="EQ74" s="335"/>
      <c r="ER74" s="335"/>
      <c r="ES74" s="335"/>
      <c r="ET74" s="335"/>
      <c r="EU74" s="335"/>
      <c r="EV74" s="335"/>
      <c r="EW74" s="335"/>
      <c r="EX74" s="335"/>
      <c r="EY74" s="335"/>
      <c r="EZ74" s="335"/>
      <c r="FA74" s="335"/>
      <c r="FB74" s="335"/>
      <c r="FC74" s="335"/>
      <c r="FD74" s="335"/>
      <c r="FE74" s="335"/>
      <c r="FF74" s="335"/>
      <c r="FG74" s="335"/>
      <c r="FH74" s="335"/>
      <c r="FI74" s="335"/>
      <c r="FJ74" s="335"/>
      <c r="FK74" s="335"/>
      <c r="FL74" s="335"/>
      <c r="FM74" s="335"/>
      <c r="FN74" s="335"/>
      <c r="FO74" s="335"/>
      <c r="FP74" s="335"/>
      <c r="FQ74" s="335"/>
      <c r="FR74" s="335"/>
      <c r="FS74" s="335"/>
      <c r="FT74" s="335"/>
      <c r="FU74" s="335"/>
      <c r="FV74" s="335"/>
      <c r="FW74" s="335"/>
      <c r="FX74" s="335"/>
      <c r="FY74" s="335"/>
      <c r="FZ74" s="335"/>
      <c r="GA74" s="335"/>
      <c r="GB74" s="335"/>
      <c r="GC74" s="335"/>
      <c r="GD74" s="335"/>
      <c r="GE74" s="335"/>
      <c r="GF74" s="335"/>
      <c r="GG74" s="335"/>
      <c r="GH74" s="335"/>
      <c r="GI74" s="335"/>
      <c r="GJ74" s="335"/>
      <c r="GK74" s="335"/>
      <c r="GL74" s="335"/>
      <c r="GM74" s="335"/>
      <c r="GN74" s="335"/>
      <c r="GO74" s="335"/>
      <c r="GP74" s="335"/>
      <c r="GQ74" s="335"/>
      <c r="GR74" s="335"/>
      <c r="GS74" s="335"/>
      <c r="GT74" s="335"/>
      <c r="GU74" s="335"/>
      <c r="GV74" s="335"/>
      <c r="GW74" s="335"/>
      <c r="GX74" s="335"/>
      <c r="GY74" s="335"/>
      <c r="GZ74" s="335"/>
      <c r="HA74" s="335"/>
      <c r="HB74" s="335"/>
      <c r="HC74" s="335"/>
      <c r="HD74" s="335"/>
      <c r="HE74" s="335"/>
      <c r="HF74" s="335"/>
      <c r="HG74" s="335"/>
      <c r="HH74" s="335"/>
      <c r="HI74" s="335"/>
      <c r="HJ74" s="335"/>
      <c r="HK74" s="335"/>
      <c r="HL74" s="335"/>
      <c r="HM74" s="335"/>
      <c r="HN74" s="335"/>
      <c r="HO74" s="335"/>
      <c r="HP74" s="335"/>
      <c r="HQ74" s="335"/>
      <c r="HR74" s="335"/>
      <c r="HS74" s="335"/>
      <c r="HT74" s="335"/>
      <c r="HU74" s="335"/>
      <c r="HV74" s="335"/>
      <c r="HW74" s="335"/>
      <c r="HX74" s="335"/>
      <c r="HY74" s="335"/>
      <c r="HZ74" s="335"/>
      <c r="IA74" s="335"/>
      <c r="IB74" s="335"/>
      <c r="IC74" s="335"/>
      <c r="ID74" s="335"/>
      <c r="IE74" s="335"/>
      <c r="IF74" s="335"/>
      <c r="IG74" s="335"/>
      <c r="IH74" s="335"/>
      <c r="II74" s="335"/>
      <c r="IJ74" s="335"/>
      <c r="IK74" s="335"/>
      <c r="IL74" s="335"/>
      <c r="IM74" s="335"/>
      <c r="IN74" s="335"/>
      <c r="IO74" s="335"/>
      <c r="IP74" s="335"/>
      <c r="IQ74" s="335"/>
      <c r="IR74" s="335"/>
      <c r="IS74" s="335"/>
    </row>
    <row r="75" spans="1:253" s="672" customFormat="1" ht="29.1" customHeight="1">
      <c r="A75" s="667" t="s">
        <v>493</v>
      </c>
      <c r="B75" s="668" t="s">
        <v>497</v>
      </c>
      <c r="C75" s="669">
        <v>2024</v>
      </c>
      <c r="D75" s="670">
        <v>4500000</v>
      </c>
      <c r="E75" s="671" t="s">
        <v>421</v>
      </c>
      <c r="F75" s="670">
        <f>G75+H75</f>
        <v>4500000</v>
      </c>
      <c r="G75" s="670">
        <v>4500000</v>
      </c>
      <c r="H75" s="670">
        <v>0</v>
      </c>
      <c r="I75" s="668" t="s">
        <v>424</v>
      </c>
    </row>
    <row r="76" spans="1:253" ht="9.9499999999999993" customHeight="1">
      <c r="A76" s="330"/>
      <c r="B76" s="331"/>
      <c r="C76" s="332"/>
      <c r="D76" s="333"/>
      <c r="E76" s="334"/>
      <c r="F76" s="333"/>
      <c r="G76" s="333"/>
      <c r="H76" s="333"/>
      <c r="I76" s="337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335"/>
      <c r="BU76" s="335"/>
      <c r="BV76" s="335"/>
      <c r="BW76" s="335"/>
      <c r="BX76" s="335"/>
      <c r="BY76" s="335"/>
      <c r="BZ76" s="335"/>
      <c r="CA76" s="335"/>
      <c r="CB76" s="335"/>
      <c r="CC76" s="335"/>
      <c r="CD76" s="335"/>
      <c r="CE76" s="335"/>
      <c r="CF76" s="335"/>
      <c r="CG76" s="335"/>
      <c r="CH76" s="335"/>
      <c r="CI76" s="335"/>
      <c r="CJ76" s="335"/>
      <c r="CK76" s="335"/>
      <c r="CL76" s="335"/>
      <c r="CM76" s="335"/>
      <c r="CN76" s="335"/>
      <c r="CO76" s="335"/>
      <c r="CP76" s="335"/>
      <c r="CQ76" s="335"/>
      <c r="CR76" s="335"/>
      <c r="CS76" s="335"/>
      <c r="CT76" s="335"/>
      <c r="CU76" s="335"/>
      <c r="CV76" s="335"/>
      <c r="CW76" s="335"/>
      <c r="CX76" s="335"/>
      <c r="CY76" s="335"/>
      <c r="CZ76" s="335"/>
      <c r="DA76" s="335"/>
      <c r="DB76" s="335"/>
      <c r="DC76" s="335"/>
      <c r="DD76" s="335"/>
      <c r="DE76" s="335"/>
      <c r="DF76" s="335"/>
      <c r="DG76" s="335"/>
      <c r="DH76" s="335"/>
      <c r="DI76" s="335"/>
      <c r="DJ76" s="335"/>
      <c r="DK76" s="335"/>
      <c r="DL76" s="335"/>
      <c r="DM76" s="335"/>
      <c r="DN76" s="335"/>
      <c r="DO76" s="335"/>
      <c r="DP76" s="335"/>
      <c r="DQ76" s="335"/>
      <c r="DR76" s="335"/>
      <c r="DS76" s="335"/>
      <c r="DT76" s="335"/>
      <c r="DU76" s="335"/>
      <c r="DV76" s="335"/>
      <c r="DW76" s="335"/>
      <c r="DX76" s="335"/>
      <c r="DY76" s="335"/>
      <c r="DZ76" s="335"/>
      <c r="EA76" s="335"/>
      <c r="EB76" s="335"/>
      <c r="EC76" s="335"/>
      <c r="ED76" s="335"/>
      <c r="EE76" s="335"/>
      <c r="EF76" s="335"/>
      <c r="EG76" s="335"/>
      <c r="EH76" s="335"/>
      <c r="EI76" s="335"/>
      <c r="EJ76" s="335"/>
      <c r="EK76" s="335"/>
      <c r="EL76" s="335"/>
      <c r="EM76" s="335"/>
      <c r="EN76" s="335"/>
      <c r="EO76" s="335"/>
      <c r="EP76" s="335"/>
      <c r="EQ76" s="335"/>
      <c r="ER76" s="335"/>
      <c r="ES76" s="335"/>
      <c r="ET76" s="335"/>
      <c r="EU76" s="335"/>
      <c r="EV76" s="335"/>
      <c r="EW76" s="335"/>
      <c r="EX76" s="335"/>
      <c r="EY76" s="335"/>
      <c r="EZ76" s="335"/>
      <c r="FA76" s="335"/>
      <c r="FB76" s="335"/>
      <c r="FC76" s="335"/>
      <c r="FD76" s="335"/>
      <c r="FE76" s="335"/>
      <c r="FF76" s="335"/>
      <c r="FG76" s="335"/>
      <c r="FH76" s="335"/>
      <c r="FI76" s="335"/>
      <c r="FJ76" s="335"/>
      <c r="FK76" s="335"/>
      <c r="FL76" s="335"/>
      <c r="FM76" s="335"/>
      <c r="FN76" s="335"/>
      <c r="FO76" s="335"/>
      <c r="FP76" s="335"/>
      <c r="FQ76" s="335"/>
      <c r="FR76" s="335"/>
      <c r="FS76" s="335"/>
      <c r="FT76" s="335"/>
      <c r="FU76" s="335"/>
      <c r="FV76" s="335"/>
      <c r="FW76" s="335"/>
      <c r="FX76" s="335"/>
      <c r="FY76" s="335"/>
      <c r="FZ76" s="335"/>
      <c r="GA76" s="335"/>
      <c r="GB76" s="335"/>
      <c r="GC76" s="335"/>
      <c r="GD76" s="335"/>
      <c r="GE76" s="335"/>
      <c r="GF76" s="335"/>
      <c r="GG76" s="335"/>
      <c r="GH76" s="335"/>
      <c r="GI76" s="335"/>
      <c r="GJ76" s="335"/>
      <c r="GK76" s="335"/>
      <c r="GL76" s="335"/>
      <c r="GM76" s="335"/>
      <c r="GN76" s="335"/>
      <c r="GO76" s="335"/>
      <c r="GP76" s="335"/>
      <c r="GQ76" s="335"/>
      <c r="GR76" s="335"/>
      <c r="GS76" s="335"/>
      <c r="GT76" s="335"/>
      <c r="GU76" s="335"/>
      <c r="GV76" s="335"/>
      <c r="GW76" s="335"/>
      <c r="GX76" s="335"/>
      <c r="GY76" s="335"/>
      <c r="GZ76" s="335"/>
      <c r="HA76" s="335"/>
      <c r="HB76" s="335"/>
      <c r="HC76" s="335"/>
      <c r="HD76" s="335"/>
      <c r="HE76" s="335"/>
      <c r="HF76" s="335"/>
      <c r="HG76" s="335"/>
      <c r="HH76" s="335"/>
      <c r="HI76" s="335"/>
      <c r="HJ76" s="335"/>
      <c r="HK76" s="335"/>
      <c r="HL76" s="335"/>
      <c r="HM76" s="335"/>
      <c r="HN76" s="335"/>
      <c r="HO76" s="335"/>
      <c r="HP76" s="335"/>
      <c r="HQ76" s="335"/>
      <c r="HR76" s="335"/>
      <c r="HS76" s="335"/>
      <c r="HT76" s="335"/>
      <c r="HU76" s="335"/>
      <c r="HV76" s="335"/>
      <c r="HW76" s="335"/>
      <c r="HX76" s="335"/>
      <c r="HY76" s="335"/>
      <c r="HZ76" s="335"/>
      <c r="IA76" s="335"/>
      <c r="IB76" s="335"/>
      <c r="IC76" s="335"/>
      <c r="ID76" s="335"/>
      <c r="IE76" s="335"/>
      <c r="IF76" s="335"/>
      <c r="IG76" s="335"/>
      <c r="IH76" s="335"/>
      <c r="II76" s="335"/>
      <c r="IJ76" s="335"/>
      <c r="IK76" s="335"/>
      <c r="IL76" s="335"/>
      <c r="IM76" s="335"/>
      <c r="IN76" s="335"/>
      <c r="IO76" s="335"/>
      <c r="IP76" s="335"/>
      <c r="IQ76" s="335"/>
      <c r="IR76" s="335"/>
      <c r="IS76" s="335"/>
    </row>
    <row r="77" spans="1:253" ht="15.75">
      <c r="A77" s="1015" t="s">
        <v>498</v>
      </c>
      <c r="B77" s="1016"/>
      <c r="C77" s="316" t="s">
        <v>421</v>
      </c>
      <c r="D77" s="338">
        <f>D18+D20+D33+D37+D40+D44+D47+D50+D54+D68+D71</f>
        <v>169797365</v>
      </c>
      <c r="E77" s="339" t="s">
        <v>421</v>
      </c>
      <c r="F77" s="338">
        <f>F18+F20+F33+F37+F40+F44+F47+F50+F54+F68+F71</f>
        <v>169797365</v>
      </c>
      <c r="G77" s="338">
        <f>G18+G20+G33+G37+G40+G44+G47+G50+G54+G68+G71</f>
        <v>160922365</v>
      </c>
      <c r="H77" s="338">
        <f>H18+H20+H33+H37+H40+H44+H47+H50+H54+H68+H71</f>
        <v>8875000</v>
      </c>
      <c r="I77" s="340" t="s">
        <v>421</v>
      </c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329"/>
      <c r="AV77" s="329"/>
      <c r="AW77" s="329"/>
      <c r="AX77" s="329"/>
      <c r="AY77" s="329"/>
      <c r="AZ77" s="329"/>
      <c r="BA77" s="329"/>
      <c r="BB77" s="329"/>
      <c r="BC77" s="329"/>
      <c r="BD77" s="329"/>
      <c r="BE77" s="329"/>
      <c r="BF77" s="329"/>
      <c r="BG77" s="329"/>
      <c r="BH77" s="329"/>
      <c r="BI77" s="329"/>
      <c r="BJ77" s="329"/>
      <c r="BK77" s="329"/>
      <c r="BL77" s="329"/>
      <c r="BM77" s="329"/>
      <c r="BN77" s="329"/>
      <c r="BO77" s="329"/>
      <c r="BP77" s="329"/>
      <c r="BQ77" s="329"/>
      <c r="BR77" s="329"/>
      <c r="BS77" s="329"/>
      <c r="BT77" s="329"/>
      <c r="BU77" s="329"/>
      <c r="BV77" s="329"/>
      <c r="BW77" s="329"/>
      <c r="BX77" s="329"/>
      <c r="BY77" s="329"/>
      <c r="BZ77" s="329"/>
      <c r="CA77" s="329"/>
      <c r="CB77" s="329"/>
      <c r="CC77" s="329"/>
      <c r="CD77" s="329"/>
      <c r="CE77" s="329"/>
      <c r="CF77" s="329"/>
      <c r="CG77" s="329"/>
      <c r="CH77" s="329"/>
      <c r="CI77" s="329"/>
      <c r="CJ77" s="329"/>
      <c r="CK77" s="329"/>
      <c r="CL77" s="329"/>
      <c r="CM77" s="329"/>
      <c r="CN77" s="329"/>
      <c r="CO77" s="329"/>
      <c r="CP77" s="329"/>
      <c r="CQ77" s="329"/>
      <c r="CR77" s="329"/>
      <c r="CS77" s="329"/>
      <c r="CT77" s="329"/>
      <c r="CU77" s="329"/>
      <c r="CV77" s="329"/>
      <c r="CW77" s="329"/>
      <c r="CX77" s="329"/>
      <c r="CY77" s="329"/>
      <c r="CZ77" s="329"/>
      <c r="DA77" s="329"/>
      <c r="DB77" s="329"/>
      <c r="DC77" s="329"/>
      <c r="DD77" s="329"/>
      <c r="DE77" s="329"/>
      <c r="DF77" s="329"/>
      <c r="DG77" s="329"/>
      <c r="DH77" s="329"/>
      <c r="DI77" s="329"/>
      <c r="DJ77" s="329"/>
      <c r="DK77" s="329"/>
      <c r="DL77" s="329"/>
      <c r="DM77" s="329"/>
      <c r="DN77" s="329"/>
      <c r="DO77" s="329"/>
      <c r="DP77" s="329"/>
      <c r="DQ77" s="329"/>
      <c r="DR77" s="329"/>
      <c r="DS77" s="329"/>
      <c r="DT77" s="329"/>
      <c r="DU77" s="329"/>
      <c r="DV77" s="329"/>
      <c r="DW77" s="329"/>
      <c r="DX77" s="329"/>
      <c r="DY77" s="329"/>
      <c r="DZ77" s="329"/>
      <c r="EA77" s="329"/>
      <c r="EB77" s="329"/>
      <c r="EC77" s="329"/>
      <c r="ED77" s="329"/>
      <c r="EE77" s="329"/>
      <c r="EF77" s="329"/>
      <c r="EG77" s="329"/>
      <c r="EH77" s="329"/>
      <c r="EI77" s="329"/>
      <c r="EJ77" s="329"/>
      <c r="EK77" s="329"/>
      <c r="EL77" s="329"/>
      <c r="EM77" s="329"/>
      <c r="EN77" s="329"/>
      <c r="EO77" s="329"/>
      <c r="EP77" s="329"/>
      <c r="EQ77" s="329"/>
      <c r="ER77" s="329"/>
      <c r="ES77" s="329"/>
      <c r="ET77" s="329"/>
      <c r="EU77" s="329"/>
      <c r="EV77" s="329"/>
      <c r="EW77" s="329"/>
      <c r="EX77" s="329"/>
      <c r="EY77" s="329"/>
      <c r="EZ77" s="329"/>
      <c r="FA77" s="329"/>
      <c r="FB77" s="329"/>
      <c r="FC77" s="329"/>
      <c r="FD77" s="329"/>
      <c r="FE77" s="329"/>
      <c r="FF77" s="329"/>
      <c r="FG77" s="329"/>
      <c r="FH77" s="329"/>
      <c r="FI77" s="329"/>
      <c r="FJ77" s="329"/>
      <c r="FK77" s="329"/>
      <c r="FL77" s="329"/>
      <c r="FM77" s="329"/>
      <c r="FN77" s="329"/>
      <c r="FO77" s="329"/>
      <c r="FP77" s="329"/>
      <c r="FQ77" s="329"/>
      <c r="FR77" s="329"/>
      <c r="FS77" s="329"/>
      <c r="FT77" s="329"/>
      <c r="FU77" s="329"/>
      <c r="FV77" s="329"/>
      <c r="FW77" s="329"/>
      <c r="FX77" s="329"/>
      <c r="FY77" s="329"/>
      <c r="FZ77" s="329"/>
      <c r="GA77" s="329"/>
      <c r="GB77" s="329"/>
      <c r="GC77" s="329"/>
      <c r="GD77" s="329"/>
      <c r="GE77" s="329"/>
      <c r="GF77" s="329"/>
      <c r="GG77" s="329"/>
      <c r="GH77" s="329"/>
      <c r="GI77" s="329"/>
      <c r="GJ77" s="329"/>
      <c r="GK77" s="329"/>
      <c r="GL77" s="329"/>
      <c r="GM77" s="329"/>
      <c r="GN77" s="329"/>
      <c r="GO77" s="329"/>
      <c r="GP77" s="329"/>
      <c r="GQ77" s="329"/>
      <c r="GR77" s="329"/>
      <c r="GS77" s="329"/>
      <c r="GT77" s="329"/>
      <c r="GU77" s="329"/>
      <c r="GV77" s="329"/>
      <c r="GW77" s="329"/>
      <c r="GX77" s="329"/>
      <c r="GY77" s="329"/>
      <c r="GZ77" s="329"/>
      <c r="HA77" s="329"/>
      <c r="HB77" s="329"/>
      <c r="HC77" s="329"/>
      <c r="HD77" s="329"/>
      <c r="HE77" s="329"/>
      <c r="HF77" s="329"/>
      <c r="HG77" s="329"/>
      <c r="HH77" s="329"/>
      <c r="HI77" s="329"/>
      <c r="HJ77" s="329"/>
      <c r="HK77" s="329"/>
      <c r="HL77" s="329"/>
      <c r="HM77" s="329"/>
      <c r="HN77" s="329"/>
      <c r="HO77" s="329"/>
      <c r="HP77" s="329"/>
      <c r="HQ77" s="329"/>
      <c r="HR77" s="329"/>
      <c r="HS77" s="329"/>
      <c r="HT77" s="329"/>
      <c r="HU77" s="329"/>
      <c r="HV77" s="329"/>
      <c r="HW77" s="329"/>
      <c r="HX77" s="329"/>
      <c r="HY77" s="329"/>
      <c r="HZ77" s="329"/>
      <c r="IA77" s="329"/>
      <c r="IB77" s="329"/>
      <c r="IC77" s="329"/>
      <c r="ID77" s="329"/>
      <c r="IE77" s="329"/>
      <c r="IF77" s="329"/>
      <c r="IG77" s="329"/>
      <c r="IH77" s="329"/>
      <c r="II77" s="329"/>
      <c r="IJ77" s="329"/>
      <c r="IK77" s="329"/>
      <c r="IL77" s="329"/>
      <c r="IM77" s="329"/>
      <c r="IN77" s="329"/>
      <c r="IO77" s="329"/>
      <c r="IP77" s="329"/>
      <c r="IQ77" s="329"/>
      <c r="IR77" s="329"/>
      <c r="IS77" s="329"/>
    </row>
    <row r="78" spans="1:253" ht="9.9499999999999993" customHeight="1">
      <c r="A78" s="1017"/>
      <c r="B78" s="1017"/>
      <c r="C78" s="1017"/>
      <c r="D78" s="1017"/>
      <c r="E78" s="1017"/>
      <c r="F78" s="1017"/>
      <c r="G78" s="1017"/>
      <c r="H78" s="1017"/>
      <c r="I78" s="1017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335"/>
      <c r="AH78" s="335"/>
      <c r="AI78" s="335"/>
      <c r="AJ78" s="335"/>
      <c r="AK78" s="335"/>
      <c r="AL78" s="335"/>
      <c r="AM78" s="335"/>
      <c r="AN78" s="335"/>
      <c r="AO78" s="335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335"/>
      <c r="BE78" s="335"/>
      <c r="BF78" s="335"/>
      <c r="BG78" s="335"/>
      <c r="BH78" s="335"/>
      <c r="BI78" s="335"/>
      <c r="BJ78" s="335"/>
      <c r="BK78" s="335"/>
      <c r="BL78" s="335"/>
      <c r="BM78" s="335"/>
      <c r="BN78" s="335"/>
      <c r="BO78" s="335"/>
      <c r="BP78" s="335"/>
      <c r="BQ78" s="335"/>
      <c r="BR78" s="335"/>
      <c r="BS78" s="335"/>
      <c r="BT78" s="335"/>
      <c r="BU78" s="335"/>
      <c r="BV78" s="335"/>
      <c r="BW78" s="335"/>
      <c r="BX78" s="335"/>
      <c r="BY78" s="335"/>
      <c r="BZ78" s="335"/>
      <c r="CA78" s="335"/>
      <c r="CB78" s="335"/>
      <c r="CC78" s="335"/>
      <c r="CD78" s="335"/>
      <c r="CE78" s="335"/>
      <c r="CF78" s="335"/>
      <c r="CG78" s="335"/>
      <c r="CH78" s="335"/>
      <c r="CI78" s="335"/>
      <c r="CJ78" s="335"/>
      <c r="CK78" s="335"/>
      <c r="CL78" s="335"/>
      <c r="CM78" s="335"/>
      <c r="CN78" s="335"/>
      <c r="CO78" s="335"/>
      <c r="CP78" s="335"/>
      <c r="CQ78" s="335"/>
      <c r="CR78" s="335"/>
      <c r="CS78" s="335"/>
      <c r="CT78" s="335"/>
      <c r="CU78" s="335"/>
      <c r="CV78" s="335"/>
      <c r="CW78" s="335"/>
      <c r="CX78" s="335"/>
      <c r="CY78" s="335"/>
      <c r="CZ78" s="335"/>
      <c r="DA78" s="335"/>
      <c r="DB78" s="335"/>
      <c r="DC78" s="335"/>
      <c r="DD78" s="335"/>
      <c r="DE78" s="335"/>
      <c r="DF78" s="335"/>
      <c r="DG78" s="335"/>
      <c r="DH78" s="335"/>
      <c r="DI78" s="335"/>
      <c r="DJ78" s="335"/>
      <c r="DK78" s="335"/>
      <c r="DL78" s="335"/>
      <c r="DM78" s="335"/>
      <c r="DN78" s="335"/>
      <c r="DO78" s="335"/>
      <c r="DP78" s="335"/>
      <c r="DQ78" s="335"/>
      <c r="DR78" s="335"/>
      <c r="DS78" s="335"/>
      <c r="DT78" s="335"/>
      <c r="DU78" s="335"/>
      <c r="DV78" s="335"/>
      <c r="DW78" s="335"/>
      <c r="DX78" s="335"/>
      <c r="DY78" s="335"/>
      <c r="DZ78" s="335"/>
      <c r="EA78" s="335"/>
      <c r="EB78" s="335"/>
      <c r="EC78" s="335"/>
      <c r="ED78" s="335"/>
      <c r="EE78" s="335"/>
      <c r="EF78" s="335"/>
      <c r="EG78" s="335"/>
      <c r="EH78" s="335"/>
      <c r="EI78" s="335"/>
      <c r="EJ78" s="335"/>
      <c r="EK78" s="335"/>
      <c r="EL78" s="335"/>
      <c r="EM78" s="335"/>
      <c r="EN78" s="335"/>
      <c r="EO78" s="335"/>
      <c r="EP78" s="335"/>
      <c r="EQ78" s="335"/>
      <c r="ER78" s="335"/>
      <c r="ES78" s="335"/>
      <c r="ET78" s="335"/>
      <c r="EU78" s="335"/>
      <c r="EV78" s="335"/>
      <c r="EW78" s="335"/>
      <c r="EX78" s="335"/>
      <c r="EY78" s="335"/>
      <c r="EZ78" s="335"/>
      <c r="FA78" s="335"/>
      <c r="FB78" s="335"/>
      <c r="FC78" s="335"/>
      <c r="FD78" s="335"/>
      <c r="FE78" s="335"/>
      <c r="FF78" s="335"/>
      <c r="FG78" s="335"/>
      <c r="FH78" s="335"/>
      <c r="FI78" s="335"/>
      <c r="FJ78" s="335"/>
      <c r="FK78" s="335"/>
      <c r="FL78" s="335"/>
      <c r="FM78" s="335"/>
      <c r="FN78" s="335"/>
      <c r="FO78" s="335"/>
      <c r="FP78" s="335"/>
      <c r="FQ78" s="335"/>
      <c r="FR78" s="335"/>
      <c r="FS78" s="335"/>
      <c r="FT78" s="335"/>
      <c r="FU78" s="335"/>
      <c r="FV78" s="335"/>
      <c r="FW78" s="335"/>
      <c r="FX78" s="335"/>
      <c r="FY78" s="335"/>
      <c r="FZ78" s="335"/>
      <c r="GA78" s="335"/>
      <c r="GB78" s="335"/>
      <c r="GC78" s="335"/>
      <c r="GD78" s="335"/>
      <c r="GE78" s="335"/>
      <c r="GF78" s="335"/>
      <c r="GG78" s="335"/>
      <c r="GH78" s="335"/>
      <c r="GI78" s="335"/>
      <c r="GJ78" s="335"/>
      <c r="GK78" s="335"/>
      <c r="GL78" s="335"/>
      <c r="GM78" s="335"/>
      <c r="GN78" s="335"/>
      <c r="GO78" s="335"/>
      <c r="GP78" s="335"/>
      <c r="GQ78" s="335"/>
      <c r="GR78" s="335"/>
      <c r="GS78" s="335"/>
      <c r="GT78" s="335"/>
      <c r="GU78" s="335"/>
      <c r="GV78" s="335"/>
      <c r="GW78" s="335"/>
      <c r="GX78" s="335"/>
      <c r="GY78" s="335"/>
      <c r="GZ78" s="335"/>
      <c r="HA78" s="335"/>
      <c r="HB78" s="335"/>
      <c r="HC78" s="335"/>
      <c r="HD78" s="335"/>
      <c r="HE78" s="335"/>
      <c r="HF78" s="335"/>
      <c r="HG78" s="335"/>
      <c r="HH78" s="335"/>
      <c r="HI78" s="335"/>
      <c r="HJ78" s="335"/>
      <c r="HK78" s="335"/>
      <c r="HL78" s="335"/>
      <c r="HM78" s="335"/>
      <c r="HN78" s="335"/>
      <c r="HO78" s="335"/>
      <c r="HP78" s="335"/>
      <c r="HQ78" s="335"/>
      <c r="HR78" s="335"/>
      <c r="HS78" s="335"/>
      <c r="HT78" s="335"/>
      <c r="HU78" s="335"/>
      <c r="HV78" s="335"/>
      <c r="HW78" s="335"/>
      <c r="HX78" s="335"/>
      <c r="HY78" s="335"/>
      <c r="HZ78" s="335"/>
      <c r="IA78" s="335"/>
      <c r="IB78" s="335"/>
      <c r="IC78" s="335"/>
      <c r="ID78" s="335"/>
      <c r="IE78" s="335"/>
      <c r="IF78" s="335"/>
      <c r="IG78" s="335"/>
      <c r="IH78" s="335"/>
      <c r="II78" s="335"/>
      <c r="IJ78" s="335"/>
      <c r="IK78" s="335"/>
      <c r="IL78" s="335"/>
      <c r="IM78" s="335"/>
      <c r="IN78" s="335"/>
      <c r="IO78" s="335"/>
      <c r="IP78" s="335"/>
      <c r="IQ78" s="335"/>
      <c r="IR78" s="335"/>
      <c r="IS78" s="335"/>
    </row>
    <row r="79" spans="1:253" ht="15" customHeight="1">
      <c r="A79" s="1010" t="s">
        <v>499</v>
      </c>
      <c r="B79" s="1011"/>
      <c r="C79" s="1011"/>
      <c r="D79" s="1011"/>
      <c r="E79" s="1011"/>
      <c r="F79" s="1011"/>
      <c r="G79" s="1011"/>
      <c r="H79" s="1011"/>
      <c r="I79" s="101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  <c r="AK79" s="322"/>
      <c r="AL79" s="322"/>
      <c r="AM79" s="322"/>
      <c r="AN79" s="322"/>
      <c r="AO79" s="322"/>
      <c r="AP79" s="322"/>
      <c r="AQ79" s="322"/>
      <c r="AR79" s="322"/>
      <c r="AS79" s="322"/>
      <c r="AT79" s="322"/>
      <c r="AU79" s="322"/>
      <c r="AV79" s="322"/>
      <c r="AW79" s="322"/>
      <c r="AX79" s="322"/>
      <c r="AY79" s="322"/>
      <c r="AZ79" s="322"/>
      <c r="BA79" s="322"/>
      <c r="BB79" s="322"/>
      <c r="BC79" s="322"/>
      <c r="BD79" s="322"/>
      <c r="BE79" s="322"/>
      <c r="BF79" s="322"/>
      <c r="BG79" s="322"/>
      <c r="BH79" s="322"/>
      <c r="BI79" s="322"/>
      <c r="BJ79" s="322"/>
      <c r="BK79" s="322"/>
      <c r="BL79" s="322"/>
      <c r="BM79" s="322"/>
      <c r="BN79" s="322"/>
      <c r="BO79" s="322"/>
      <c r="BP79" s="322"/>
      <c r="BQ79" s="322"/>
      <c r="BR79" s="322"/>
      <c r="BS79" s="322"/>
      <c r="BT79" s="322"/>
      <c r="BU79" s="322"/>
      <c r="BV79" s="322"/>
      <c r="BW79" s="322"/>
      <c r="BX79" s="322"/>
      <c r="BY79" s="322"/>
      <c r="BZ79" s="322"/>
      <c r="CA79" s="322"/>
      <c r="CB79" s="322"/>
      <c r="CC79" s="322"/>
      <c r="CD79" s="322"/>
      <c r="CE79" s="322"/>
      <c r="CF79" s="322"/>
      <c r="CG79" s="322"/>
      <c r="CH79" s="322"/>
      <c r="CI79" s="322"/>
      <c r="CJ79" s="322"/>
      <c r="CK79" s="322"/>
      <c r="CL79" s="322"/>
      <c r="CM79" s="322"/>
      <c r="CN79" s="322"/>
      <c r="CO79" s="322"/>
      <c r="CP79" s="322"/>
      <c r="CQ79" s="322"/>
      <c r="CR79" s="322"/>
      <c r="CS79" s="322"/>
      <c r="CT79" s="322"/>
      <c r="CU79" s="322"/>
      <c r="CV79" s="322"/>
      <c r="CW79" s="322"/>
      <c r="CX79" s="322"/>
      <c r="CY79" s="322"/>
      <c r="CZ79" s="322"/>
      <c r="DA79" s="322"/>
      <c r="DB79" s="322"/>
      <c r="DC79" s="322"/>
      <c r="DD79" s="322"/>
      <c r="DE79" s="322"/>
      <c r="DF79" s="322"/>
      <c r="DG79" s="322"/>
      <c r="DH79" s="322"/>
      <c r="DI79" s="322"/>
      <c r="DJ79" s="322"/>
      <c r="DK79" s="322"/>
      <c r="DL79" s="322"/>
      <c r="DM79" s="322"/>
      <c r="DN79" s="322"/>
      <c r="DO79" s="322"/>
      <c r="DP79" s="322"/>
      <c r="DQ79" s="322"/>
      <c r="DR79" s="322"/>
      <c r="DS79" s="322"/>
      <c r="DT79" s="322"/>
      <c r="DU79" s="322"/>
      <c r="DV79" s="322"/>
      <c r="DW79" s="322"/>
      <c r="DX79" s="322"/>
      <c r="DY79" s="322"/>
      <c r="DZ79" s="322"/>
      <c r="EA79" s="322"/>
      <c r="EB79" s="322"/>
      <c r="EC79" s="322"/>
      <c r="ED79" s="322"/>
      <c r="EE79" s="322"/>
      <c r="EF79" s="322"/>
      <c r="EG79" s="322"/>
      <c r="EH79" s="322"/>
      <c r="EI79" s="322"/>
      <c r="EJ79" s="322"/>
      <c r="EK79" s="322"/>
      <c r="EL79" s="322"/>
      <c r="EM79" s="322"/>
      <c r="EN79" s="322"/>
      <c r="EO79" s="322"/>
      <c r="EP79" s="322"/>
      <c r="EQ79" s="322"/>
      <c r="ER79" s="322"/>
      <c r="ES79" s="322"/>
      <c r="ET79" s="322"/>
      <c r="EU79" s="322"/>
      <c r="EV79" s="322"/>
      <c r="EW79" s="322"/>
      <c r="EX79" s="322"/>
      <c r="EY79" s="322"/>
      <c r="EZ79" s="322"/>
      <c r="FA79" s="322"/>
      <c r="FB79" s="322"/>
      <c r="FC79" s="322"/>
      <c r="FD79" s="322"/>
      <c r="FE79" s="322"/>
      <c r="FF79" s="322"/>
      <c r="FG79" s="322"/>
      <c r="FH79" s="322"/>
      <c r="FI79" s="322"/>
      <c r="FJ79" s="322"/>
      <c r="FK79" s="322"/>
      <c r="FL79" s="322"/>
      <c r="FM79" s="322"/>
      <c r="FN79" s="322"/>
      <c r="FO79" s="322"/>
      <c r="FP79" s="322"/>
      <c r="FQ79" s="322"/>
      <c r="FR79" s="322"/>
      <c r="FS79" s="322"/>
      <c r="FT79" s="322"/>
      <c r="FU79" s="322"/>
      <c r="FV79" s="322"/>
      <c r="FW79" s="322"/>
      <c r="FX79" s="322"/>
      <c r="FY79" s="322"/>
      <c r="FZ79" s="322"/>
      <c r="GA79" s="322"/>
      <c r="GB79" s="322"/>
      <c r="GC79" s="322"/>
      <c r="GD79" s="322"/>
      <c r="GE79" s="322"/>
      <c r="GF79" s="322"/>
      <c r="GG79" s="322"/>
      <c r="GH79" s="322"/>
      <c r="GI79" s="322"/>
      <c r="GJ79" s="322"/>
      <c r="GK79" s="322"/>
      <c r="GL79" s="322"/>
      <c r="GM79" s="322"/>
      <c r="GN79" s="322"/>
      <c r="GO79" s="322"/>
      <c r="GP79" s="322"/>
      <c r="GQ79" s="322"/>
      <c r="GR79" s="322"/>
      <c r="GS79" s="322"/>
      <c r="GT79" s="322"/>
      <c r="GU79" s="322"/>
      <c r="GV79" s="322"/>
      <c r="GW79" s="322"/>
      <c r="GX79" s="322"/>
      <c r="GY79" s="322"/>
      <c r="GZ79" s="322"/>
      <c r="HA79" s="322"/>
      <c r="HB79" s="322"/>
      <c r="HC79" s="322"/>
      <c r="HD79" s="322"/>
      <c r="HE79" s="322"/>
      <c r="HF79" s="322"/>
      <c r="HG79" s="322"/>
      <c r="HH79" s="322"/>
      <c r="HI79" s="322"/>
      <c r="HJ79" s="322"/>
      <c r="HK79" s="322"/>
      <c r="HL79" s="322"/>
      <c r="HM79" s="322"/>
      <c r="HN79" s="322"/>
      <c r="HO79" s="322"/>
      <c r="HP79" s="322"/>
      <c r="HQ79" s="322"/>
      <c r="HR79" s="322"/>
      <c r="HS79" s="322"/>
      <c r="HT79" s="322"/>
      <c r="HU79" s="322"/>
      <c r="HV79" s="322"/>
      <c r="HW79" s="322"/>
      <c r="HX79" s="322"/>
      <c r="HY79" s="322"/>
      <c r="HZ79" s="322"/>
      <c r="IA79" s="322"/>
      <c r="IB79" s="322"/>
      <c r="IC79" s="322"/>
      <c r="ID79" s="322"/>
      <c r="IE79" s="322"/>
      <c r="IF79" s="322"/>
      <c r="IG79" s="322"/>
      <c r="IH79" s="322"/>
      <c r="II79" s="322"/>
      <c r="IJ79" s="322"/>
      <c r="IK79" s="322"/>
      <c r="IL79" s="322"/>
      <c r="IM79" s="322"/>
      <c r="IN79" s="322"/>
      <c r="IO79" s="322"/>
      <c r="IP79" s="322"/>
      <c r="IQ79" s="322"/>
      <c r="IR79" s="322"/>
      <c r="IS79" s="322"/>
    </row>
    <row r="80" spans="1:253" ht="9.9499999999999993" customHeight="1">
      <c r="A80" s="330"/>
      <c r="B80" s="331"/>
      <c r="C80" s="332"/>
      <c r="D80" s="333"/>
      <c r="E80" s="334"/>
      <c r="F80" s="333"/>
      <c r="G80" s="333"/>
      <c r="H80" s="333"/>
      <c r="I80" s="337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335"/>
      <c r="BI80" s="335"/>
      <c r="BJ80" s="335"/>
      <c r="BK80" s="335"/>
      <c r="BL80" s="335"/>
      <c r="BM80" s="335"/>
      <c r="BN80" s="335"/>
      <c r="BO80" s="335"/>
      <c r="BP80" s="335"/>
      <c r="BQ80" s="335"/>
      <c r="BR80" s="335"/>
      <c r="BS80" s="335"/>
      <c r="BT80" s="335"/>
      <c r="BU80" s="335"/>
      <c r="BV80" s="335"/>
      <c r="BW80" s="335"/>
      <c r="BX80" s="335"/>
      <c r="BY80" s="335"/>
      <c r="BZ80" s="335"/>
      <c r="CA80" s="335"/>
      <c r="CB80" s="335"/>
      <c r="CC80" s="335"/>
      <c r="CD80" s="335"/>
      <c r="CE80" s="335"/>
      <c r="CF80" s="335"/>
      <c r="CG80" s="335"/>
      <c r="CH80" s="335"/>
      <c r="CI80" s="335"/>
      <c r="CJ80" s="335"/>
      <c r="CK80" s="335"/>
      <c r="CL80" s="335"/>
      <c r="CM80" s="335"/>
      <c r="CN80" s="335"/>
      <c r="CO80" s="335"/>
      <c r="CP80" s="335"/>
      <c r="CQ80" s="335"/>
      <c r="CR80" s="335"/>
      <c r="CS80" s="335"/>
      <c r="CT80" s="335"/>
      <c r="CU80" s="335"/>
      <c r="CV80" s="335"/>
      <c r="CW80" s="335"/>
      <c r="CX80" s="335"/>
      <c r="CY80" s="335"/>
      <c r="CZ80" s="335"/>
      <c r="DA80" s="335"/>
      <c r="DB80" s="335"/>
      <c r="DC80" s="335"/>
      <c r="DD80" s="335"/>
      <c r="DE80" s="335"/>
      <c r="DF80" s="335"/>
      <c r="DG80" s="335"/>
      <c r="DH80" s="335"/>
      <c r="DI80" s="335"/>
      <c r="DJ80" s="335"/>
      <c r="DK80" s="335"/>
      <c r="DL80" s="335"/>
      <c r="DM80" s="335"/>
      <c r="DN80" s="335"/>
      <c r="DO80" s="335"/>
      <c r="DP80" s="335"/>
      <c r="DQ80" s="335"/>
      <c r="DR80" s="335"/>
      <c r="DS80" s="335"/>
      <c r="DT80" s="335"/>
      <c r="DU80" s="335"/>
      <c r="DV80" s="335"/>
      <c r="DW80" s="335"/>
      <c r="DX80" s="335"/>
      <c r="DY80" s="335"/>
      <c r="DZ80" s="335"/>
      <c r="EA80" s="335"/>
      <c r="EB80" s="335"/>
      <c r="EC80" s="335"/>
      <c r="ED80" s="335"/>
      <c r="EE80" s="335"/>
      <c r="EF80" s="335"/>
      <c r="EG80" s="335"/>
      <c r="EH80" s="335"/>
      <c r="EI80" s="335"/>
      <c r="EJ80" s="335"/>
      <c r="EK80" s="335"/>
      <c r="EL80" s="335"/>
      <c r="EM80" s="335"/>
      <c r="EN80" s="335"/>
      <c r="EO80" s="335"/>
      <c r="EP80" s="335"/>
      <c r="EQ80" s="335"/>
      <c r="ER80" s="335"/>
      <c r="ES80" s="335"/>
      <c r="ET80" s="335"/>
      <c r="EU80" s="335"/>
      <c r="EV80" s="335"/>
      <c r="EW80" s="335"/>
      <c r="EX80" s="335"/>
      <c r="EY80" s="335"/>
      <c r="EZ80" s="335"/>
      <c r="FA80" s="335"/>
      <c r="FB80" s="335"/>
      <c r="FC80" s="335"/>
      <c r="FD80" s="335"/>
      <c r="FE80" s="335"/>
      <c r="FF80" s="335"/>
      <c r="FG80" s="335"/>
      <c r="FH80" s="335"/>
      <c r="FI80" s="335"/>
      <c r="FJ80" s="335"/>
      <c r="FK80" s="335"/>
      <c r="FL80" s="335"/>
      <c r="FM80" s="335"/>
      <c r="FN80" s="335"/>
      <c r="FO80" s="335"/>
      <c r="FP80" s="335"/>
      <c r="FQ80" s="335"/>
      <c r="FR80" s="335"/>
      <c r="FS80" s="335"/>
      <c r="FT80" s="335"/>
      <c r="FU80" s="335"/>
      <c r="FV80" s="335"/>
      <c r="FW80" s="335"/>
      <c r="FX80" s="335"/>
      <c r="FY80" s="335"/>
      <c r="FZ80" s="335"/>
      <c r="GA80" s="335"/>
      <c r="GB80" s="335"/>
      <c r="GC80" s="335"/>
      <c r="GD80" s="335"/>
      <c r="GE80" s="335"/>
      <c r="GF80" s="335"/>
      <c r="GG80" s="335"/>
      <c r="GH80" s="335"/>
      <c r="GI80" s="335"/>
      <c r="GJ80" s="335"/>
      <c r="GK80" s="335"/>
      <c r="GL80" s="335"/>
      <c r="GM80" s="335"/>
      <c r="GN80" s="335"/>
      <c r="GO80" s="335"/>
      <c r="GP80" s="335"/>
      <c r="GQ80" s="335"/>
      <c r="GR80" s="335"/>
      <c r="GS80" s="335"/>
      <c r="GT80" s="335"/>
      <c r="GU80" s="335"/>
      <c r="GV80" s="335"/>
      <c r="GW80" s="335"/>
      <c r="GX80" s="335"/>
      <c r="GY80" s="335"/>
      <c r="GZ80" s="335"/>
      <c r="HA80" s="335"/>
      <c r="HB80" s="335"/>
      <c r="HC80" s="335"/>
      <c r="HD80" s="335"/>
      <c r="HE80" s="335"/>
      <c r="HF80" s="335"/>
      <c r="HG80" s="335"/>
      <c r="HH80" s="335"/>
      <c r="HI80" s="335"/>
      <c r="HJ80" s="335"/>
      <c r="HK80" s="335"/>
      <c r="HL80" s="335"/>
      <c r="HM80" s="335"/>
      <c r="HN80" s="335"/>
      <c r="HO80" s="335"/>
      <c r="HP80" s="335"/>
      <c r="HQ80" s="335"/>
      <c r="HR80" s="335"/>
      <c r="HS80" s="335"/>
      <c r="HT80" s="335"/>
      <c r="HU80" s="335"/>
      <c r="HV80" s="335"/>
      <c r="HW80" s="335"/>
      <c r="HX80" s="335"/>
      <c r="HY80" s="335"/>
      <c r="HZ80" s="335"/>
      <c r="IA80" s="335"/>
      <c r="IB80" s="335"/>
      <c r="IC80" s="335"/>
      <c r="ID80" s="335"/>
      <c r="IE80" s="335"/>
      <c r="IF80" s="335"/>
      <c r="IG80" s="335"/>
      <c r="IH80" s="335"/>
      <c r="II80" s="335"/>
      <c r="IJ80" s="335"/>
      <c r="IK80" s="335"/>
      <c r="IL80" s="335"/>
      <c r="IM80" s="335"/>
      <c r="IN80" s="335"/>
      <c r="IO80" s="335"/>
      <c r="IP80" s="335"/>
      <c r="IQ80" s="335"/>
      <c r="IR80" s="335"/>
      <c r="IS80" s="335"/>
    </row>
    <row r="81" spans="1:253" ht="15" customHeight="1">
      <c r="A81" s="324" t="s">
        <v>23</v>
      </c>
      <c r="B81" s="325" t="s">
        <v>24</v>
      </c>
      <c r="C81" s="326" t="s">
        <v>421</v>
      </c>
      <c r="D81" s="327">
        <f>D82+D83+D84+D85+D86+D87+D88+D89+D90+D91+D92+D93+D94+D95+D96+D97+D98+D99+D100+D101+D102+D103+D104+D105+D106+D107+D108</f>
        <v>753414368</v>
      </c>
      <c r="E81" s="327">
        <f>E82+E83+E84+E85+E86+E87+E88+E89+E90+E91+E92+E93+E94+E95+E96+E97+E98+E99+E100+E101+E102+E103+E104+E105+E106+E107+E108</f>
        <v>40501765</v>
      </c>
      <c r="F81" s="327">
        <f>F82+F83+F84+F85+F86+F87+F88+F89+F90+F91+F92+F93+F94+F95+F96+F97+F98+F99+F100+F101+F102+F103+F104+F105+F106+F107+F108</f>
        <v>178684472</v>
      </c>
      <c r="G81" s="327">
        <f>G82+G83+G84+G85+G86+G87+G88+G89+G90+G91+G92+G93+G94+G95+G96+G97+G98+G99+G100+G101+G102+G103+G104+G105+G106+G107+G108</f>
        <v>146589032</v>
      </c>
      <c r="H81" s="327">
        <f>H82+H83+H84+H85+H86+H87+H88+H89+H90+H91+H92+H93+H94+H95+H96+H97+H98+H99+H100+H101+H102+H103+H104+H105+H106+H107+H108</f>
        <v>32095440</v>
      </c>
      <c r="I81" s="326" t="s">
        <v>421</v>
      </c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29"/>
      <c r="AK81" s="329"/>
      <c r="AL81" s="329"/>
      <c r="AM81" s="329"/>
      <c r="AN81" s="329"/>
      <c r="AO81" s="329"/>
      <c r="AP81" s="329"/>
      <c r="AQ81" s="329"/>
      <c r="AR81" s="329"/>
      <c r="AS81" s="329"/>
      <c r="AT81" s="329"/>
      <c r="AU81" s="329"/>
      <c r="AV81" s="329"/>
      <c r="AW81" s="329"/>
      <c r="AX81" s="329"/>
      <c r="AY81" s="329"/>
      <c r="AZ81" s="329"/>
      <c r="BA81" s="329"/>
      <c r="BB81" s="329"/>
      <c r="BC81" s="329"/>
      <c r="BD81" s="329"/>
      <c r="BE81" s="329"/>
      <c r="BF81" s="329"/>
      <c r="BG81" s="329"/>
      <c r="BH81" s="329"/>
      <c r="BI81" s="329"/>
      <c r="BJ81" s="329"/>
      <c r="BK81" s="329"/>
      <c r="BL81" s="329"/>
      <c r="BM81" s="329"/>
      <c r="BN81" s="329"/>
      <c r="BO81" s="329"/>
      <c r="BP81" s="329"/>
      <c r="BQ81" s="329"/>
      <c r="BR81" s="329"/>
      <c r="BS81" s="329"/>
      <c r="BT81" s="329"/>
      <c r="BU81" s="329"/>
      <c r="BV81" s="329"/>
      <c r="BW81" s="329"/>
      <c r="BX81" s="329"/>
      <c r="BY81" s="329"/>
      <c r="BZ81" s="329"/>
      <c r="CA81" s="329"/>
      <c r="CB81" s="329"/>
      <c r="CC81" s="329"/>
      <c r="CD81" s="329"/>
      <c r="CE81" s="329"/>
      <c r="CF81" s="329"/>
      <c r="CG81" s="329"/>
      <c r="CH81" s="329"/>
      <c r="CI81" s="329"/>
      <c r="CJ81" s="329"/>
      <c r="CK81" s="329"/>
      <c r="CL81" s="329"/>
      <c r="CM81" s="329"/>
      <c r="CN81" s="329"/>
      <c r="CO81" s="329"/>
      <c r="CP81" s="329"/>
      <c r="CQ81" s="329"/>
      <c r="CR81" s="329"/>
      <c r="CS81" s="329"/>
      <c r="CT81" s="329"/>
      <c r="CU81" s="329"/>
      <c r="CV81" s="329"/>
      <c r="CW81" s="329"/>
      <c r="CX81" s="329"/>
      <c r="CY81" s="329"/>
      <c r="CZ81" s="329"/>
      <c r="DA81" s="329"/>
      <c r="DB81" s="329"/>
      <c r="DC81" s="329"/>
      <c r="DD81" s="329"/>
      <c r="DE81" s="329"/>
      <c r="DF81" s="329"/>
      <c r="DG81" s="329"/>
      <c r="DH81" s="329"/>
      <c r="DI81" s="329"/>
      <c r="DJ81" s="329"/>
      <c r="DK81" s="329"/>
      <c r="DL81" s="329"/>
      <c r="DM81" s="329"/>
      <c r="DN81" s="329"/>
      <c r="DO81" s="329"/>
      <c r="DP81" s="329"/>
      <c r="DQ81" s="329"/>
      <c r="DR81" s="329"/>
      <c r="DS81" s="329"/>
      <c r="DT81" s="329"/>
      <c r="DU81" s="329"/>
      <c r="DV81" s="329"/>
      <c r="DW81" s="329"/>
      <c r="DX81" s="329"/>
      <c r="DY81" s="329"/>
      <c r="DZ81" s="329"/>
      <c r="EA81" s="329"/>
      <c r="EB81" s="329"/>
      <c r="EC81" s="329"/>
      <c r="ED81" s="329"/>
      <c r="EE81" s="329"/>
      <c r="EF81" s="329"/>
      <c r="EG81" s="329"/>
      <c r="EH81" s="329"/>
      <c r="EI81" s="329"/>
      <c r="EJ81" s="329"/>
      <c r="EK81" s="329"/>
      <c r="EL81" s="329"/>
      <c r="EM81" s="329"/>
      <c r="EN81" s="329"/>
      <c r="EO81" s="329"/>
      <c r="EP81" s="329"/>
      <c r="EQ81" s="329"/>
      <c r="ER81" s="329"/>
      <c r="ES81" s="329"/>
      <c r="ET81" s="329"/>
      <c r="EU81" s="329"/>
      <c r="EV81" s="329"/>
      <c r="EW81" s="329"/>
      <c r="EX81" s="329"/>
      <c r="EY81" s="329"/>
      <c r="EZ81" s="329"/>
      <c r="FA81" s="329"/>
      <c r="FB81" s="329"/>
      <c r="FC81" s="329"/>
      <c r="FD81" s="329"/>
      <c r="FE81" s="329"/>
      <c r="FF81" s="329"/>
      <c r="FG81" s="329"/>
      <c r="FH81" s="329"/>
      <c r="FI81" s="329"/>
      <c r="FJ81" s="329"/>
      <c r="FK81" s="329"/>
      <c r="FL81" s="329"/>
      <c r="FM81" s="329"/>
      <c r="FN81" s="329"/>
      <c r="FO81" s="329"/>
      <c r="FP81" s="329"/>
      <c r="FQ81" s="329"/>
      <c r="FR81" s="329"/>
      <c r="FS81" s="329"/>
      <c r="FT81" s="329"/>
      <c r="FU81" s="329"/>
      <c r="FV81" s="329"/>
      <c r="FW81" s="329"/>
      <c r="FX81" s="329"/>
      <c r="FY81" s="329"/>
      <c r="FZ81" s="329"/>
      <c r="GA81" s="329"/>
      <c r="GB81" s="329"/>
      <c r="GC81" s="329"/>
      <c r="GD81" s="329"/>
      <c r="GE81" s="329"/>
      <c r="GF81" s="329"/>
      <c r="GG81" s="329"/>
      <c r="GH81" s="329"/>
      <c r="GI81" s="329"/>
      <c r="GJ81" s="329"/>
      <c r="GK81" s="329"/>
      <c r="GL81" s="329"/>
      <c r="GM81" s="329"/>
      <c r="GN81" s="329"/>
      <c r="GO81" s="329"/>
      <c r="GP81" s="329"/>
      <c r="GQ81" s="329"/>
      <c r="GR81" s="329"/>
      <c r="GS81" s="329"/>
      <c r="GT81" s="329"/>
      <c r="GU81" s="329"/>
      <c r="GV81" s="329"/>
      <c r="GW81" s="329"/>
      <c r="GX81" s="329"/>
      <c r="GY81" s="329"/>
      <c r="GZ81" s="329"/>
      <c r="HA81" s="329"/>
      <c r="HB81" s="329"/>
      <c r="HC81" s="329"/>
      <c r="HD81" s="329"/>
      <c r="HE81" s="329"/>
      <c r="HF81" s="329"/>
      <c r="HG81" s="329"/>
      <c r="HH81" s="329"/>
      <c r="HI81" s="329"/>
      <c r="HJ81" s="329"/>
      <c r="HK81" s="329"/>
      <c r="HL81" s="329"/>
      <c r="HM81" s="329"/>
      <c r="HN81" s="329"/>
      <c r="HO81" s="329"/>
      <c r="HP81" s="329"/>
      <c r="HQ81" s="329"/>
      <c r="HR81" s="329"/>
      <c r="HS81" s="329"/>
      <c r="HT81" s="329"/>
      <c r="HU81" s="329"/>
      <c r="HV81" s="329"/>
      <c r="HW81" s="329"/>
      <c r="HX81" s="329"/>
      <c r="HY81" s="329"/>
      <c r="HZ81" s="329"/>
      <c r="IA81" s="329"/>
      <c r="IB81" s="329"/>
      <c r="IC81" s="329"/>
      <c r="ID81" s="329"/>
      <c r="IE81" s="329"/>
      <c r="IF81" s="329"/>
      <c r="IG81" s="329"/>
      <c r="IH81" s="329"/>
      <c r="II81" s="329"/>
      <c r="IJ81" s="329"/>
      <c r="IK81" s="329"/>
      <c r="IL81" s="329"/>
      <c r="IM81" s="329"/>
      <c r="IN81" s="329"/>
      <c r="IO81" s="329"/>
      <c r="IP81" s="329"/>
      <c r="IQ81" s="329"/>
      <c r="IR81" s="329"/>
      <c r="IS81" s="329"/>
    </row>
    <row r="82" spans="1:253" s="672" customFormat="1" ht="29.1" customHeight="1">
      <c r="A82" s="667" t="s">
        <v>250</v>
      </c>
      <c r="B82" s="668" t="s">
        <v>500</v>
      </c>
      <c r="C82" s="669" t="s">
        <v>501</v>
      </c>
      <c r="D82" s="670">
        <v>207802038</v>
      </c>
      <c r="E82" s="679">
        <v>3668250</v>
      </c>
      <c r="F82" s="670">
        <f t="shared" ref="F82:F108" si="2">G82+H82</f>
        <v>6127788</v>
      </c>
      <c r="G82" s="670">
        <v>0</v>
      </c>
      <c r="H82" s="670">
        <v>6127788</v>
      </c>
      <c r="I82" s="668" t="s">
        <v>502</v>
      </c>
    </row>
    <row r="83" spans="1:253" s="672" customFormat="1" ht="29.1" customHeight="1">
      <c r="A83" s="667" t="s">
        <v>250</v>
      </c>
      <c r="B83" s="668" t="s">
        <v>503</v>
      </c>
      <c r="C83" s="669" t="s">
        <v>504</v>
      </c>
      <c r="D83" s="670">
        <v>9200000</v>
      </c>
      <c r="E83" s="679">
        <v>0</v>
      </c>
      <c r="F83" s="670">
        <f t="shared" si="2"/>
        <v>9200000</v>
      </c>
      <c r="G83" s="670">
        <v>9200000</v>
      </c>
      <c r="H83" s="670">
        <v>0</v>
      </c>
      <c r="I83" s="668" t="s">
        <v>502</v>
      </c>
    </row>
    <row r="84" spans="1:253" s="672" customFormat="1" ht="54.95" customHeight="1">
      <c r="A84" s="667" t="s">
        <v>250</v>
      </c>
      <c r="B84" s="668" t="s">
        <v>285</v>
      </c>
      <c r="C84" s="669" t="s">
        <v>505</v>
      </c>
      <c r="D84" s="670">
        <v>57718038</v>
      </c>
      <c r="E84" s="679">
        <v>71402</v>
      </c>
      <c r="F84" s="670">
        <f t="shared" si="2"/>
        <v>41238836</v>
      </c>
      <c r="G84" s="670">
        <v>28413836</v>
      </c>
      <c r="H84" s="670">
        <v>12825000</v>
      </c>
      <c r="I84" s="668" t="s">
        <v>502</v>
      </c>
    </row>
    <row r="85" spans="1:253" s="672" customFormat="1" ht="54.95" customHeight="1">
      <c r="A85" s="667" t="s">
        <v>250</v>
      </c>
      <c r="B85" s="668" t="s">
        <v>506</v>
      </c>
      <c r="C85" s="669" t="s">
        <v>507</v>
      </c>
      <c r="D85" s="670">
        <v>37000000</v>
      </c>
      <c r="E85" s="679">
        <v>2500000</v>
      </c>
      <c r="F85" s="670">
        <f>G85+H85</f>
        <v>34500000</v>
      </c>
      <c r="G85" s="670">
        <v>34500000</v>
      </c>
      <c r="H85" s="670">
        <v>0</v>
      </c>
      <c r="I85" s="668" t="s">
        <v>502</v>
      </c>
    </row>
    <row r="86" spans="1:253" s="672" customFormat="1" ht="42" customHeight="1">
      <c r="A86" s="667" t="s">
        <v>250</v>
      </c>
      <c r="B86" s="668" t="s">
        <v>508</v>
      </c>
      <c r="C86" s="669" t="s">
        <v>509</v>
      </c>
      <c r="D86" s="670">
        <v>10843765</v>
      </c>
      <c r="E86" s="679">
        <v>4843765</v>
      </c>
      <c r="F86" s="670">
        <f>G86+H86</f>
        <v>6000000</v>
      </c>
      <c r="G86" s="670">
        <v>6000000</v>
      </c>
      <c r="H86" s="670">
        <v>0</v>
      </c>
      <c r="I86" s="668" t="s">
        <v>502</v>
      </c>
    </row>
    <row r="87" spans="1:253" s="672" customFormat="1" ht="29.1" customHeight="1">
      <c r="A87" s="667" t="s">
        <v>250</v>
      </c>
      <c r="B87" s="668" t="s">
        <v>510</v>
      </c>
      <c r="C87" s="669" t="s">
        <v>511</v>
      </c>
      <c r="D87" s="670">
        <v>16400000</v>
      </c>
      <c r="E87" s="679">
        <f>500000+13900000</f>
        <v>14400000</v>
      </c>
      <c r="F87" s="670">
        <f t="shared" si="2"/>
        <v>2000000</v>
      </c>
      <c r="G87" s="670">
        <v>2000000</v>
      </c>
      <c r="H87" s="670">
        <v>0</v>
      </c>
      <c r="I87" s="668" t="s">
        <v>502</v>
      </c>
    </row>
    <row r="88" spans="1:253" s="672" customFormat="1" ht="29.1" customHeight="1">
      <c r="A88" s="667" t="s">
        <v>250</v>
      </c>
      <c r="B88" s="668" t="s">
        <v>512</v>
      </c>
      <c r="C88" s="669" t="s">
        <v>513</v>
      </c>
      <c r="D88" s="670">
        <v>2540000</v>
      </c>
      <c r="E88" s="679">
        <v>0</v>
      </c>
      <c r="F88" s="670">
        <f t="shared" si="2"/>
        <v>1940000</v>
      </c>
      <c r="G88" s="670">
        <v>1940000</v>
      </c>
      <c r="H88" s="670">
        <v>0</v>
      </c>
      <c r="I88" s="668" t="s">
        <v>502</v>
      </c>
    </row>
    <row r="89" spans="1:253" s="672" customFormat="1" ht="42" customHeight="1">
      <c r="A89" s="667" t="s">
        <v>250</v>
      </c>
      <c r="B89" s="668" t="s">
        <v>514</v>
      </c>
      <c r="C89" s="669" t="s">
        <v>511</v>
      </c>
      <c r="D89" s="670">
        <v>1000000</v>
      </c>
      <c r="E89" s="679">
        <f>18450+174065</f>
        <v>192515</v>
      </c>
      <c r="F89" s="670">
        <f t="shared" si="2"/>
        <v>807485</v>
      </c>
      <c r="G89" s="670">
        <v>0</v>
      </c>
      <c r="H89" s="670">
        <v>807485</v>
      </c>
      <c r="I89" s="668" t="s">
        <v>502</v>
      </c>
    </row>
    <row r="90" spans="1:253" s="672" customFormat="1" ht="29.1" customHeight="1">
      <c r="A90" s="667" t="s">
        <v>250</v>
      </c>
      <c r="B90" s="668" t="s">
        <v>515</v>
      </c>
      <c r="C90" s="669" t="s">
        <v>509</v>
      </c>
      <c r="D90" s="670">
        <v>3250000</v>
      </c>
      <c r="E90" s="679">
        <v>0</v>
      </c>
      <c r="F90" s="670">
        <f t="shared" si="2"/>
        <v>3250000</v>
      </c>
      <c r="G90" s="670">
        <v>3250000</v>
      </c>
      <c r="H90" s="670">
        <v>0</v>
      </c>
      <c r="I90" s="668" t="s">
        <v>502</v>
      </c>
    </row>
    <row r="91" spans="1:253" s="672" customFormat="1" ht="29.1" customHeight="1">
      <c r="A91" s="667" t="s">
        <v>250</v>
      </c>
      <c r="B91" s="668" t="s">
        <v>516</v>
      </c>
      <c r="C91" s="669" t="s">
        <v>511</v>
      </c>
      <c r="D91" s="670">
        <v>11538750</v>
      </c>
      <c r="E91" s="679">
        <v>0</v>
      </c>
      <c r="F91" s="670">
        <f t="shared" si="2"/>
        <v>11538750</v>
      </c>
      <c r="G91" s="670">
        <v>8720000</v>
      </c>
      <c r="H91" s="670">
        <v>2818750</v>
      </c>
      <c r="I91" s="668" t="s">
        <v>502</v>
      </c>
    </row>
    <row r="92" spans="1:253" s="672" customFormat="1" ht="29.1" customHeight="1">
      <c r="A92" s="667" t="s">
        <v>250</v>
      </c>
      <c r="B92" s="668" t="s">
        <v>286</v>
      </c>
      <c r="C92" s="669" t="s">
        <v>517</v>
      </c>
      <c r="D92" s="670">
        <v>30000000</v>
      </c>
      <c r="E92" s="679">
        <v>0</v>
      </c>
      <c r="F92" s="670">
        <f t="shared" si="2"/>
        <v>15000000</v>
      </c>
      <c r="G92" s="670">
        <v>7500000</v>
      </c>
      <c r="H92" s="670">
        <v>7500000</v>
      </c>
      <c r="I92" s="668" t="s">
        <v>502</v>
      </c>
    </row>
    <row r="93" spans="1:253" s="672" customFormat="1" ht="42" customHeight="1">
      <c r="A93" s="667" t="s">
        <v>250</v>
      </c>
      <c r="B93" s="668" t="s">
        <v>518</v>
      </c>
      <c r="C93" s="669" t="s">
        <v>509</v>
      </c>
      <c r="D93" s="670">
        <v>1500000</v>
      </c>
      <c r="E93" s="679">
        <v>0</v>
      </c>
      <c r="F93" s="670">
        <f t="shared" si="2"/>
        <v>1500000</v>
      </c>
      <c r="G93" s="670">
        <v>1500000</v>
      </c>
      <c r="H93" s="670">
        <v>0</v>
      </c>
      <c r="I93" s="668" t="s">
        <v>502</v>
      </c>
    </row>
    <row r="94" spans="1:253" s="672" customFormat="1" ht="29.1" customHeight="1">
      <c r="A94" s="667" t="s">
        <v>250</v>
      </c>
      <c r="B94" s="668" t="s">
        <v>519</v>
      </c>
      <c r="C94" s="669" t="s">
        <v>511</v>
      </c>
      <c r="D94" s="670">
        <v>5038588</v>
      </c>
      <c r="E94" s="679">
        <f>294142+1136868+3107578</f>
        <v>4538588</v>
      </c>
      <c r="F94" s="670">
        <f t="shared" si="2"/>
        <v>500000</v>
      </c>
      <c r="G94" s="670">
        <v>500000</v>
      </c>
      <c r="H94" s="670">
        <v>0</v>
      </c>
      <c r="I94" s="668" t="s">
        <v>502</v>
      </c>
    </row>
    <row r="95" spans="1:253" ht="15" customHeight="1">
      <c r="A95" s="330" t="s">
        <v>250</v>
      </c>
      <c r="B95" s="331" t="s">
        <v>520</v>
      </c>
      <c r="C95" s="332" t="s">
        <v>517</v>
      </c>
      <c r="D95" s="333">
        <v>500000</v>
      </c>
      <c r="E95" s="341">
        <v>0</v>
      </c>
      <c r="F95" s="333">
        <f t="shared" si="2"/>
        <v>250000</v>
      </c>
      <c r="G95" s="333">
        <v>250000</v>
      </c>
      <c r="H95" s="333">
        <v>0</v>
      </c>
      <c r="I95" s="331" t="s">
        <v>502</v>
      </c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  <c r="AJ95" s="335"/>
      <c r="AK95" s="335"/>
      <c r="AL95" s="335"/>
      <c r="AM95" s="335"/>
      <c r="AN95" s="335"/>
      <c r="AO95" s="335"/>
      <c r="AP95" s="335"/>
      <c r="AQ95" s="335"/>
      <c r="AR95" s="335"/>
      <c r="AS95" s="335"/>
      <c r="AT95" s="335"/>
      <c r="AU95" s="335"/>
      <c r="AV95" s="335"/>
      <c r="AW95" s="335"/>
      <c r="AX95" s="335"/>
      <c r="AY95" s="335"/>
      <c r="AZ95" s="335"/>
      <c r="BA95" s="335"/>
      <c r="BB95" s="335"/>
      <c r="BC95" s="335"/>
      <c r="BD95" s="335"/>
      <c r="BE95" s="335"/>
      <c r="BF95" s="335"/>
      <c r="BG95" s="335"/>
      <c r="BH95" s="335"/>
      <c r="BI95" s="335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  <c r="BT95" s="335"/>
      <c r="BU95" s="335"/>
      <c r="BV95" s="335"/>
      <c r="BW95" s="335"/>
      <c r="BX95" s="335"/>
      <c r="BY95" s="335"/>
      <c r="BZ95" s="335"/>
      <c r="CA95" s="335"/>
      <c r="CB95" s="335"/>
      <c r="CC95" s="335"/>
      <c r="CD95" s="335"/>
      <c r="CE95" s="335"/>
      <c r="CF95" s="335"/>
      <c r="CG95" s="335"/>
      <c r="CH95" s="335"/>
      <c r="CI95" s="335"/>
      <c r="CJ95" s="335"/>
      <c r="CK95" s="335"/>
      <c r="CL95" s="335"/>
      <c r="CM95" s="335"/>
      <c r="CN95" s="335"/>
      <c r="CO95" s="335"/>
      <c r="CP95" s="335"/>
      <c r="CQ95" s="335"/>
      <c r="CR95" s="335"/>
      <c r="CS95" s="335"/>
      <c r="CT95" s="335"/>
      <c r="CU95" s="335"/>
      <c r="CV95" s="335"/>
      <c r="CW95" s="335"/>
      <c r="CX95" s="335"/>
      <c r="CY95" s="335"/>
      <c r="CZ95" s="335"/>
      <c r="DA95" s="335"/>
      <c r="DB95" s="335"/>
      <c r="DC95" s="335"/>
      <c r="DD95" s="335"/>
      <c r="DE95" s="335"/>
      <c r="DF95" s="335"/>
      <c r="DG95" s="335"/>
      <c r="DH95" s="335"/>
      <c r="DI95" s="335"/>
      <c r="DJ95" s="335"/>
      <c r="DK95" s="335"/>
      <c r="DL95" s="335"/>
      <c r="DM95" s="335"/>
      <c r="DN95" s="335"/>
      <c r="DO95" s="335"/>
      <c r="DP95" s="335"/>
      <c r="DQ95" s="335"/>
      <c r="DR95" s="335"/>
      <c r="DS95" s="335"/>
      <c r="DT95" s="335"/>
      <c r="DU95" s="335"/>
      <c r="DV95" s="335"/>
      <c r="DW95" s="335"/>
      <c r="DX95" s="335"/>
      <c r="DY95" s="335"/>
      <c r="DZ95" s="335"/>
      <c r="EA95" s="335"/>
      <c r="EB95" s="335"/>
      <c r="EC95" s="335"/>
      <c r="ED95" s="335"/>
      <c r="EE95" s="335"/>
      <c r="EF95" s="335"/>
      <c r="EG95" s="335"/>
      <c r="EH95" s="335"/>
      <c r="EI95" s="335"/>
      <c r="EJ95" s="335"/>
      <c r="EK95" s="335"/>
      <c r="EL95" s="335"/>
      <c r="EM95" s="335"/>
      <c r="EN95" s="335"/>
      <c r="EO95" s="335"/>
      <c r="EP95" s="335"/>
      <c r="EQ95" s="335"/>
      <c r="ER95" s="335"/>
      <c r="ES95" s="335"/>
      <c r="ET95" s="335"/>
      <c r="EU95" s="335"/>
      <c r="EV95" s="335"/>
      <c r="EW95" s="335"/>
      <c r="EX95" s="335"/>
      <c r="EY95" s="335"/>
      <c r="EZ95" s="335"/>
      <c r="FA95" s="335"/>
      <c r="FB95" s="335"/>
      <c r="FC95" s="335"/>
      <c r="FD95" s="335"/>
      <c r="FE95" s="335"/>
      <c r="FF95" s="335"/>
      <c r="FG95" s="335"/>
      <c r="FH95" s="335"/>
      <c r="FI95" s="335"/>
      <c r="FJ95" s="335"/>
      <c r="FK95" s="335"/>
      <c r="FL95" s="335"/>
      <c r="FM95" s="335"/>
      <c r="FN95" s="335"/>
      <c r="FO95" s="335"/>
      <c r="FP95" s="335"/>
      <c r="FQ95" s="335"/>
      <c r="FR95" s="335"/>
      <c r="FS95" s="335"/>
      <c r="FT95" s="335"/>
      <c r="FU95" s="335"/>
      <c r="FV95" s="335"/>
      <c r="FW95" s="335"/>
      <c r="FX95" s="335"/>
      <c r="FY95" s="335"/>
      <c r="FZ95" s="335"/>
      <c r="GA95" s="335"/>
      <c r="GB95" s="335"/>
      <c r="GC95" s="335"/>
      <c r="GD95" s="335"/>
      <c r="GE95" s="335"/>
      <c r="GF95" s="335"/>
      <c r="GG95" s="335"/>
      <c r="GH95" s="335"/>
      <c r="GI95" s="335"/>
      <c r="GJ95" s="335"/>
      <c r="GK95" s="335"/>
      <c r="GL95" s="335"/>
      <c r="GM95" s="335"/>
      <c r="GN95" s="335"/>
      <c r="GO95" s="335"/>
      <c r="GP95" s="335"/>
      <c r="GQ95" s="335"/>
      <c r="GR95" s="335"/>
      <c r="GS95" s="335"/>
      <c r="GT95" s="335"/>
      <c r="GU95" s="335"/>
      <c r="GV95" s="335"/>
      <c r="GW95" s="335"/>
      <c r="GX95" s="335"/>
      <c r="GY95" s="335"/>
      <c r="GZ95" s="335"/>
      <c r="HA95" s="335"/>
      <c r="HB95" s="335"/>
      <c r="HC95" s="335"/>
      <c r="HD95" s="335"/>
      <c r="HE95" s="335"/>
      <c r="HF95" s="335"/>
      <c r="HG95" s="335"/>
      <c r="HH95" s="335"/>
      <c r="HI95" s="335"/>
      <c r="HJ95" s="335"/>
      <c r="HK95" s="335"/>
      <c r="HL95" s="335"/>
      <c r="HM95" s="335"/>
      <c r="HN95" s="335"/>
      <c r="HO95" s="335"/>
      <c r="HP95" s="335"/>
      <c r="HQ95" s="335"/>
      <c r="HR95" s="335"/>
      <c r="HS95" s="335"/>
      <c r="HT95" s="335"/>
      <c r="HU95" s="335"/>
      <c r="HV95" s="335"/>
      <c r="HW95" s="335"/>
      <c r="HX95" s="335"/>
      <c r="HY95" s="335"/>
      <c r="HZ95" s="335"/>
      <c r="IA95" s="335"/>
      <c r="IB95" s="335"/>
      <c r="IC95" s="335"/>
      <c r="ID95" s="335"/>
      <c r="IE95" s="335"/>
      <c r="IF95" s="335"/>
      <c r="IG95" s="335"/>
      <c r="IH95" s="335"/>
      <c r="II95" s="335"/>
      <c r="IJ95" s="335"/>
      <c r="IK95" s="335"/>
      <c r="IL95" s="335"/>
      <c r="IM95" s="335"/>
      <c r="IN95" s="335"/>
      <c r="IO95" s="335"/>
      <c r="IP95" s="335"/>
      <c r="IQ95" s="335"/>
      <c r="IR95" s="335"/>
      <c r="IS95" s="335"/>
    </row>
    <row r="96" spans="1:253" s="672" customFormat="1" ht="29.1" customHeight="1">
      <c r="A96" s="667" t="s">
        <v>250</v>
      </c>
      <c r="B96" s="668" t="s">
        <v>521</v>
      </c>
      <c r="C96" s="669" t="s">
        <v>522</v>
      </c>
      <c r="D96" s="670">
        <v>7200000</v>
      </c>
      <c r="E96" s="679">
        <v>0</v>
      </c>
      <c r="F96" s="670">
        <f t="shared" si="2"/>
        <v>2600000</v>
      </c>
      <c r="G96" s="670">
        <v>2600000</v>
      </c>
      <c r="H96" s="670">
        <v>0</v>
      </c>
      <c r="I96" s="668" t="s">
        <v>502</v>
      </c>
    </row>
    <row r="97" spans="1:253" s="672" customFormat="1" ht="29.1" customHeight="1">
      <c r="A97" s="667" t="s">
        <v>250</v>
      </c>
      <c r="B97" s="668" t="s">
        <v>523</v>
      </c>
      <c r="C97" s="669" t="s">
        <v>524</v>
      </c>
      <c r="D97" s="670">
        <v>3610704</v>
      </c>
      <c r="E97" s="679">
        <v>278534</v>
      </c>
      <c r="F97" s="670">
        <f t="shared" si="2"/>
        <v>3082170</v>
      </c>
      <c r="G97" s="670">
        <v>3082170</v>
      </c>
      <c r="H97" s="670">
        <v>0</v>
      </c>
      <c r="I97" s="668" t="s">
        <v>502</v>
      </c>
    </row>
    <row r="98" spans="1:253" ht="15" customHeight="1">
      <c r="A98" s="330" t="s">
        <v>250</v>
      </c>
      <c r="B98" s="331" t="s">
        <v>525</v>
      </c>
      <c r="C98" s="332" t="s">
        <v>509</v>
      </c>
      <c r="D98" s="333">
        <v>553483</v>
      </c>
      <c r="E98" s="341">
        <f>24600+49200</f>
        <v>73800</v>
      </c>
      <c r="F98" s="333">
        <f t="shared" si="2"/>
        <v>479683</v>
      </c>
      <c r="G98" s="333">
        <v>479683</v>
      </c>
      <c r="H98" s="333">
        <v>0</v>
      </c>
      <c r="I98" s="331" t="s">
        <v>502</v>
      </c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  <c r="AC98" s="335"/>
      <c r="AD98" s="335"/>
      <c r="AE98" s="335"/>
      <c r="AF98" s="335"/>
      <c r="AG98" s="335"/>
      <c r="AH98" s="335"/>
      <c r="AI98" s="335"/>
      <c r="AJ98" s="335"/>
      <c r="AK98" s="335"/>
      <c r="AL98" s="335"/>
      <c r="AM98" s="335"/>
      <c r="AN98" s="335"/>
      <c r="AO98" s="335"/>
      <c r="AP98" s="335"/>
      <c r="AQ98" s="335"/>
      <c r="AR98" s="335"/>
      <c r="AS98" s="335"/>
      <c r="AT98" s="335"/>
      <c r="AU98" s="335"/>
      <c r="AV98" s="335"/>
      <c r="AW98" s="335"/>
      <c r="AX98" s="335"/>
      <c r="AY98" s="335"/>
      <c r="AZ98" s="335"/>
      <c r="BA98" s="335"/>
      <c r="BB98" s="335"/>
      <c r="BC98" s="335"/>
      <c r="BD98" s="335"/>
      <c r="BE98" s="335"/>
      <c r="BF98" s="335"/>
      <c r="BG98" s="335"/>
      <c r="BH98" s="335"/>
      <c r="BI98" s="335"/>
      <c r="BJ98" s="335"/>
      <c r="BK98" s="335"/>
      <c r="BL98" s="335"/>
      <c r="BM98" s="335"/>
      <c r="BN98" s="335"/>
      <c r="BO98" s="335"/>
      <c r="BP98" s="335"/>
      <c r="BQ98" s="335"/>
      <c r="BR98" s="335"/>
      <c r="BS98" s="335"/>
      <c r="BT98" s="335"/>
      <c r="BU98" s="335"/>
      <c r="BV98" s="335"/>
      <c r="BW98" s="335"/>
      <c r="BX98" s="335"/>
      <c r="BY98" s="335"/>
      <c r="BZ98" s="335"/>
      <c r="CA98" s="335"/>
      <c r="CB98" s="335"/>
      <c r="CC98" s="335"/>
      <c r="CD98" s="335"/>
      <c r="CE98" s="335"/>
      <c r="CF98" s="335"/>
      <c r="CG98" s="335"/>
      <c r="CH98" s="335"/>
      <c r="CI98" s="335"/>
      <c r="CJ98" s="335"/>
      <c r="CK98" s="335"/>
      <c r="CL98" s="335"/>
      <c r="CM98" s="335"/>
      <c r="CN98" s="335"/>
      <c r="CO98" s="335"/>
      <c r="CP98" s="335"/>
      <c r="CQ98" s="335"/>
      <c r="CR98" s="335"/>
      <c r="CS98" s="335"/>
      <c r="CT98" s="335"/>
      <c r="CU98" s="335"/>
      <c r="CV98" s="335"/>
      <c r="CW98" s="335"/>
      <c r="CX98" s="335"/>
      <c r="CY98" s="335"/>
      <c r="CZ98" s="335"/>
      <c r="DA98" s="335"/>
      <c r="DB98" s="335"/>
      <c r="DC98" s="335"/>
      <c r="DD98" s="335"/>
      <c r="DE98" s="335"/>
      <c r="DF98" s="335"/>
      <c r="DG98" s="335"/>
      <c r="DH98" s="335"/>
      <c r="DI98" s="335"/>
      <c r="DJ98" s="335"/>
      <c r="DK98" s="335"/>
      <c r="DL98" s="335"/>
      <c r="DM98" s="335"/>
      <c r="DN98" s="335"/>
      <c r="DO98" s="335"/>
      <c r="DP98" s="335"/>
      <c r="DQ98" s="335"/>
      <c r="DR98" s="335"/>
      <c r="DS98" s="335"/>
      <c r="DT98" s="335"/>
      <c r="DU98" s="335"/>
      <c r="DV98" s="335"/>
      <c r="DW98" s="335"/>
      <c r="DX98" s="335"/>
      <c r="DY98" s="335"/>
      <c r="DZ98" s="335"/>
      <c r="EA98" s="335"/>
      <c r="EB98" s="335"/>
      <c r="EC98" s="335"/>
      <c r="ED98" s="335"/>
      <c r="EE98" s="335"/>
      <c r="EF98" s="335"/>
      <c r="EG98" s="335"/>
      <c r="EH98" s="335"/>
      <c r="EI98" s="335"/>
      <c r="EJ98" s="335"/>
      <c r="EK98" s="335"/>
      <c r="EL98" s="335"/>
      <c r="EM98" s="335"/>
      <c r="EN98" s="335"/>
      <c r="EO98" s="335"/>
      <c r="EP98" s="335"/>
      <c r="EQ98" s="335"/>
      <c r="ER98" s="335"/>
      <c r="ES98" s="335"/>
      <c r="ET98" s="335"/>
      <c r="EU98" s="335"/>
      <c r="EV98" s="335"/>
      <c r="EW98" s="335"/>
      <c r="EX98" s="335"/>
      <c r="EY98" s="335"/>
      <c r="EZ98" s="335"/>
      <c r="FA98" s="335"/>
      <c r="FB98" s="335"/>
      <c r="FC98" s="335"/>
      <c r="FD98" s="335"/>
      <c r="FE98" s="335"/>
      <c r="FF98" s="335"/>
      <c r="FG98" s="335"/>
      <c r="FH98" s="335"/>
      <c r="FI98" s="335"/>
      <c r="FJ98" s="335"/>
      <c r="FK98" s="335"/>
      <c r="FL98" s="335"/>
      <c r="FM98" s="335"/>
      <c r="FN98" s="335"/>
      <c r="FO98" s="335"/>
      <c r="FP98" s="335"/>
      <c r="FQ98" s="335"/>
      <c r="FR98" s="335"/>
      <c r="FS98" s="335"/>
      <c r="FT98" s="335"/>
      <c r="FU98" s="335"/>
      <c r="FV98" s="335"/>
      <c r="FW98" s="335"/>
      <c r="FX98" s="335"/>
      <c r="FY98" s="335"/>
      <c r="FZ98" s="335"/>
      <c r="GA98" s="335"/>
      <c r="GB98" s="335"/>
      <c r="GC98" s="335"/>
      <c r="GD98" s="335"/>
      <c r="GE98" s="335"/>
      <c r="GF98" s="335"/>
      <c r="GG98" s="335"/>
      <c r="GH98" s="335"/>
      <c r="GI98" s="335"/>
      <c r="GJ98" s="335"/>
      <c r="GK98" s="335"/>
      <c r="GL98" s="335"/>
      <c r="GM98" s="335"/>
      <c r="GN98" s="335"/>
      <c r="GO98" s="335"/>
      <c r="GP98" s="335"/>
      <c r="GQ98" s="335"/>
      <c r="GR98" s="335"/>
      <c r="GS98" s="335"/>
      <c r="GT98" s="335"/>
      <c r="GU98" s="335"/>
      <c r="GV98" s="335"/>
      <c r="GW98" s="335"/>
      <c r="GX98" s="335"/>
      <c r="GY98" s="335"/>
      <c r="GZ98" s="335"/>
      <c r="HA98" s="335"/>
      <c r="HB98" s="335"/>
      <c r="HC98" s="335"/>
      <c r="HD98" s="335"/>
      <c r="HE98" s="335"/>
      <c r="HF98" s="335"/>
      <c r="HG98" s="335"/>
      <c r="HH98" s="335"/>
      <c r="HI98" s="335"/>
      <c r="HJ98" s="335"/>
      <c r="HK98" s="335"/>
      <c r="HL98" s="335"/>
      <c r="HM98" s="335"/>
      <c r="HN98" s="335"/>
      <c r="HO98" s="335"/>
      <c r="HP98" s="335"/>
      <c r="HQ98" s="335"/>
      <c r="HR98" s="335"/>
      <c r="HS98" s="335"/>
      <c r="HT98" s="335"/>
      <c r="HU98" s="335"/>
      <c r="HV98" s="335"/>
      <c r="HW98" s="335"/>
      <c r="HX98" s="335"/>
      <c r="HY98" s="335"/>
      <c r="HZ98" s="335"/>
      <c r="IA98" s="335"/>
      <c r="IB98" s="335"/>
      <c r="IC98" s="335"/>
      <c r="ID98" s="335"/>
      <c r="IE98" s="335"/>
      <c r="IF98" s="335"/>
      <c r="IG98" s="335"/>
      <c r="IH98" s="335"/>
      <c r="II98" s="335"/>
      <c r="IJ98" s="335"/>
      <c r="IK98" s="335"/>
      <c r="IL98" s="335"/>
      <c r="IM98" s="335"/>
      <c r="IN98" s="335"/>
      <c r="IO98" s="335"/>
      <c r="IP98" s="335"/>
      <c r="IQ98" s="335"/>
      <c r="IR98" s="335"/>
      <c r="IS98" s="335"/>
    </row>
    <row r="99" spans="1:253" s="672" customFormat="1" ht="54.95" customHeight="1">
      <c r="A99" s="667" t="s">
        <v>250</v>
      </c>
      <c r="B99" s="668" t="s">
        <v>526</v>
      </c>
      <c r="C99" s="669" t="s">
        <v>527</v>
      </c>
      <c r="D99" s="670">
        <v>100710940</v>
      </c>
      <c r="E99" s="679">
        <v>289051</v>
      </c>
      <c r="F99" s="670">
        <f t="shared" si="2"/>
        <v>421889</v>
      </c>
      <c r="G99" s="670">
        <v>105472</v>
      </c>
      <c r="H99" s="670">
        <v>316417</v>
      </c>
      <c r="I99" s="668" t="s">
        <v>502</v>
      </c>
    </row>
    <row r="100" spans="1:253" s="672" customFormat="1" ht="29.1" customHeight="1">
      <c r="A100" s="667" t="s">
        <v>250</v>
      </c>
      <c r="B100" s="668" t="s">
        <v>528</v>
      </c>
      <c r="C100" s="669" t="s">
        <v>529</v>
      </c>
      <c r="D100" s="670">
        <v>6621586</v>
      </c>
      <c r="E100" s="679">
        <f>17159+34317+120110</f>
        <v>171586</v>
      </c>
      <c r="F100" s="670">
        <f t="shared" si="2"/>
        <v>1000000</v>
      </c>
      <c r="G100" s="670">
        <v>1000000</v>
      </c>
      <c r="H100" s="670">
        <v>0</v>
      </c>
      <c r="I100" s="668" t="s">
        <v>502</v>
      </c>
    </row>
    <row r="101" spans="1:253" s="672" customFormat="1" ht="29.1" customHeight="1">
      <c r="A101" s="667" t="s">
        <v>250</v>
      </c>
      <c r="B101" s="668" t="s">
        <v>530</v>
      </c>
      <c r="C101" s="669" t="s">
        <v>505</v>
      </c>
      <c r="D101" s="670">
        <v>3500000</v>
      </c>
      <c r="E101" s="679">
        <v>0</v>
      </c>
      <c r="F101" s="670">
        <f t="shared" si="2"/>
        <v>2109669</v>
      </c>
      <c r="G101" s="670">
        <v>2109669</v>
      </c>
      <c r="H101" s="670">
        <v>0</v>
      </c>
      <c r="I101" s="668" t="s">
        <v>502</v>
      </c>
    </row>
    <row r="102" spans="1:253" ht="15" customHeight="1">
      <c r="A102" s="330" t="s">
        <v>250</v>
      </c>
      <c r="B102" s="331" t="s">
        <v>258</v>
      </c>
      <c r="C102" s="332" t="s">
        <v>531</v>
      </c>
      <c r="D102" s="333">
        <v>126000000</v>
      </c>
      <c r="E102" s="341">
        <v>0</v>
      </c>
      <c r="F102" s="333">
        <f t="shared" si="2"/>
        <v>2000000</v>
      </c>
      <c r="G102" s="333">
        <v>800000</v>
      </c>
      <c r="H102" s="333">
        <v>1200000</v>
      </c>
      <c r="I102" s="331" t="s">
        <v>502</v>
      </c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5"/>
      <c r="AK102" s="335"/>
      <c r="AL102" s="335"/>
      <c r="AM102" s="335"/>
      <c r="AN102" s="335"/>
      <c r="AO102" s="335"/>
      <c r="AP102" s="335"/>
      <c r="AQ102" s="335"/>
      <c r="AR102" s="335"/>
      <c r="AS102" s="335"/>
      <c r="AT102" s="335"/>
      <c r="AU102" s="335"/>
      <c r="AV102" s="335"/>
      <c r="AW102" s="335"/>
      <c r="AX102" s="335"/>
      <c r="AY102" s="335"/>
      <c r="AZ102" s="335"/>
      <c r="BA102" s="335"/>
      <c r="BB102" s="335"/>
      <c r="BC102" s="335"/>
      <c r="BD102" s="335"/>
      <c r="BE102" s="335"/>
      <c r="BF102" s="335"/>
      <c r="BG102" s="335"/>
      <c r="BH102" s="335"/>
      <c r="BI102" s="335"/>
      <c r="BJ102" s="335"/>
      <c r="BK102" s="335"/>
      <c r="BL102" s="335"/>
      <c r="BM102" s="335"/>
      <c r="BN102" s="335"/>
      <c r="BO102" s="335"/>
      <c r="BP102" s="335"/>
      <c r="BQ102" s="335"/>
      <c r="BR102" s="335"/>
      <c r="BS102" s="335"/>
      <c r="BT102" s="335"/>
      <c r="BU102" s="335"/>
      <c r="BV102" s="335"/>
      <c r="BW102" s="335"/>
      <c r="BX102" s="335"/>
      <c r="BY102" s="335"/>
      <c r="BZ102" s="335"/>
      <c r="CA102" s="335"/>
      <c r="CB102" s="335"/>
      <c r="CC102" s="335"/>
      <c r="CD102" s="335"/>
      <c r="CE102" s="335"/>
      <c r="CF102" s="335"/>
      <c r="CG102" s="335"/>
      <c r="CH102" s="335"/>
      <c r="CI102" s="335"/>
      <c r="CJ102" s="335"/>
      <c r="CK102" s="335"/>
      <c r="CL102" s="335"/>
      <c r="CM102" s="335"/>
      <c r="CN102" s="335"/>
      <c r="CO102" s="335"/>
      <c r="CP102" s="335"/>
      <c r="CQ102" s="335"/>
      <c r="CR102" s="335"/>
      <c r="CS102" s="335"/>
      <c r="CT102" s="335"/>
      <c r="CU102" s="335"/>
      <c r="CV102" s="335"/>
      <c r="CW102" s="335"/>
      <c r="CX102" s="335"/>
      <c r="CY102" s="335"/>
      <c r="CZ102" s="335"/>
      <c r="DA102" s="335"/>
      <c r="DB102" s="335"/>
      <c r="DC102" s="335"/>
      <c r="DD102" s="335"/>
      <c r="DE102" s="335"/>
      <c r="DF102" s="335"/>
      <c r="DG102" s="335"/>
      <c r="DH102" s="335"/>
      <c r="DI102" s="335"/>
      <c r="DJ102" s="335"/>
      <c r="DK102" s="335"/>
      <c r="DL102" s="335"/>
      <c r="DM102" s="335"/>
      <c r="DN102" s="335"/>
      <c r="DO102" s="335"/>
      <c r="DP102" s="335"/>
      <c r="DQ102" s="335"/>
      <c r="DR102" s="335"/>
      <c r="DS102" s="335"/>
      <c r="DT102" s="335"/>
      <c r="DU102" s="335"/>
      <c r="DV102" s="335"/>
      <c r="DW102" s="335"/>
      <c r="DX102" s="335"/>
      <c r="DY102" s="335"/>
      <c r="DZ102" s="335"/>
      <c r="EA102" s="335"/>
      <c r="EB102" s="335"/>
      <c r="EC102" s="335"/>
      <c r="ED102" s="335"/>
      <c r="EE102" s="335"/>
      <c r="EF102" s="335"/>
      <c r="EG102" s="335"/>
      <c r="EH102" s="335"/>
      <c r="EI102" s="335"/>
      <c r="EJ102" s="335"/>
      <c r="EK102" s="335"/>
      <c r="EL102" s="335"/>
      <c r="EM102" s="335"/>
      <c r="EN102" s="335"/>
      <c r="EO102" s="335"/>
      <c r="EP102" s="335"/>
      <c r="EQ102" s="335"/>
      <c r="ER102" s="335"/>
      <c r="ES102" s="335"/>
      <c r="ET102" s="335"/>
      <c r="EU102" s="335"/>
      <c r="EV102" s="335"/>
      <c r="EW102" s="335"/>
      <c r="EX102" s="335"/>
      <c r="EY102" s="335"/>
      <c r="EZ102" s="335"/>
      <c r="FA102" s="335"/>
      <c r="FB102" s="335"/>
      <c r="FC102" s="335"/>
      <c r="FD102" s="335"/>
      <c r="FE102" s="335"/>
      <c r="FF102" s="335"/>
      <c r="FG102" s="335"/>
      <c r="FH102" s="335"/>
      <c r="FI102" s="335"/>
      <c r="FJ102" s="335"/>
      <c r="FK102" s="335"/>
      <c r="FL102" s="335"/>
      <c r="FM102" s="335"/>
      <c r="FN102" s="335"/>
      <c r="FO102" s="335"/>
      <c r="FP102" s="335"/>
      <c r="FQ102" s="335"/>
      <c r="FR102" s="335"/>
      <c r="FS102" s="335"/>
      <c r="FT102" s="335"/>
      <c r="FU102" s="335"/>
      <c r="FV102" s="335"/>
      <c r="FW102" s="335"/>
      <c r="FX102" s="335"/>
      <c r="FY102" s="335"/>
      <c r="FZ102" s="335"/>
      <c r="GA102" s="335"/>
      <c r="GB102" s="335"/>
      <c r="GC102" s="335"/>
      <c r="GD102" s="335"/>
      <c r="GE102" s="335"/>
      <c r="GF102" s="335"/>
      <c r="GG102" s="335"/>
      <c r="GH102" s="335"/>
      <c r="GI102" s="335"/>
      <c r="GJ102" s="335"/>
      <c r="GK102" s="335"/>
      <c r="GL102" s="335"/>
      <c r="GM102" s="335"/>
      <c r="GN102" s="335"/>
      <c r="GO102" s="335"/>
      <c r="GP102" s="335"/>
      <c r="GQ102" s="335"/>
      <c r="GR102" s="335"/>
      <c r="GS102" s="335"/>
      <c r="GT102" s="335"/>
      <c r="GU102" s="335"/>
      <c r="GV102" s="335"/>
      <c r="GW102" s="335"/>
      <c r="GX102" s="335"/>
      <c r="GY102" s="335"/>
      <c r="GZ102" s="335"/>
      <c r="HA102" s="335"/>
      <c r="HB102" s="335"/>
      <c r="HC102" s="335"/>
      <c r="HD102" s="335"/>
      <c r="HE102" s="335"/>
      <c r="HF102" s="335"/>
      <c r="HG102" s="335"/>
      <c r="HH102" s="335"/>
      <c r="HI102" s="335"/>
      <c r="HJ102" s="335"/>
      <c r="HK102" s="335"/>
      <c r="HL102" s="335"/>
      <c r="HM102" s="335"/>
      <c r="HN102" s="335"/>
      <c r="HO102" s="335"/>
      <c r="HP102" s="335"/>
      <c r="HQ102" s="335"/>
      <c r="HR102" s="335"/>
      <c r="HS102" s="335"/>
      <c r="HT102" s="335"/>
      <c r="HU102" s="335"/>
      <c r="HV102" s="335"/>
      <c r="HW102" s="335"/>
      <c r="HX102" s="335"/>
      <c r="HY102" s="335"/>
      <c r="HZ102" s="335"/>
      <c r="IA102" s="335"/>
      <c r="IB102" s="335"/>
      <c r="IC102" s="335"/>
      <c r="ID102" s="335"/>
      <c r="IE102" s="335"/>
      <c r="IF102" s="335"/>
      <c r="IG102" s="335"/>
      <c r="IH102" s="335"/>
      <c r="II102" s="335"/>
      <c r="IJ102" s="335"/>
      <c r="IK102" s="335"/>
      <c r="IL102" s="335"/>
      <c r="IM102" s="335"/>
      <c r="IN102" s="335"/>
      <c r="IO102" s="335"/>
      <c r="IP102" s="335"/>
      <c r="IQ102" s="335"/>
      <c r="IR102" s="335"/>
      <c r="IS102" s="335"/>
    </row>
    <row r="103" spans="1:253" ht="15" customHeight="1">
      <c r="A103" s="330" t="s">
        <v>250</v>
      </c>
      <c r="B103" s="331" t="s">
        <v>532</v>
      </c>
      <c r="C103" s="332" t="s">
        <v>533</v>
      </c>
      <c r="D103" s="333">
        <v>64000000</v>
      </c>
      <c r="E103" s="341">
        <v>0</v>
      </c>
      <c r="F103" s="333">
        <f t="shared" si="2"/>
        <v>1000000</v>
      </c>
      <c r="G103" s="333">
        <v>500000</v>
      </c>
      <c r="H103" s="333">
        <v>500000</v>
      </c>
      <c r="I103" s="331" t="s">
        <v>502</v>
      </c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E103" s="335"/>
      <c r="AF103" s="335"/>
      <c r="AG103" s="335"/>
      <c r="AH103" s="335"/>
      <c r="AI103" s="335"/>
      <c r="AJ103" s="335"/>
      <c r="AK103" s="335"/>
      <c r="AL103" s="335"/>
      <c r="AM103" s="335"/>
      <c r="AN103" s="335"/>
      <c r="AO103" s="335"/>
      <c r="AP103" s="335"/>
      <c r="AQ103" s="335"/>
      <c r="AR103" s="335"/>
      <c r="AS103" s="335"/>
      <c r="AT103" s="335"/>
      <c r="AU103" s="335"/>
      <c r="AV103" s="335"/>
      <c r="AW103" s="335"/>
      <c r="AX103" s="335"/>
      <c r="AY103" s="335"/>
      <c r="AZ103" s="335"/>
      <c r="BA103" s="335"/>
      <c r="BB103" s="335"/>
      <c r="BC103" s="335"/>
      <c r="BD103" s="335"/>
      <c r="BE103" s="335"/>
      <c r="BF103" s="335"/>
      <c r="BG103" s="335"/>
      <c r="BH103" s="335"/>
      <c r="BI103" s="335"/>
      <c r="BJ103" s="335"/>
      <c r="BK103" s="335"/>
      <c r="BL103" s="335"/>
      <c r="BM103" s="335"/>
      <c r="BN103" s="335"/>
      <c r="BO103" s="335"/>
      <c r="BP103" s="335"/>
      <c r="BQ103" s="335"/>
      <c r="BR103" s="335"/>
      <c r="BS103" s="335"/>
      <c r="BT103" s="335"/>
      <c r="BU103" s="335"/>
      <c r="BV103" s="335"/>
      <c r="BW103" s="335"/>
      <c r="BX103" s="335"/>
      <c r="BY103" s="335"/>
      <c r="BZ103" s="335"/>
      <c r="CA103" s="335"/>
      <c r="CB103" s="335"/>
      <c r="CC103" s="335"/>
      <c r="CD103" s="335"/>
      <c r="CE103" s="335"/>
      <c r="CF103" s="335"/>
      <c r="CG103" s="335"/>
      <c r="CH103" s="335"/>
      <c r="CI103" s="335"/>
      <c r="CJ103" s="335"/>
      <c r="CK103" s="335"/>
      <c r="CL103" s="335"/>
      <c r="CM103" s="335"/>
      <c r="CN103" s="335"/>
      <c r="CO103" s="335"/>
      <c r="CP103" s="335"/>
      <c r="CQ103" s="335"/>
      <c r="CR103" s="335"/>
      <c r="CS103" s="335"/>
      <c r="CT103" s="335"/>
      <c r="CU103" s="335"/>
      <c r="CV103" s="335"/>
      <c r="CW103" s="335"/>
      <c r="CX103" s="335"/>
      <c r="CY103" s="335"/>
      <c r="CZ103" s="335"/>
      <c r="DA103" s="335"/>
      <c r="DB103" s="335"/>
      <c r="DC103" s="335"/>
      <c r="DD103" s="335"/>
      <c r="DE103" s="335"/>
      <c r="DF103" s="335"/>
      <c r="DG103" s="335"/>
      <c r="DH103" s="335"/>
      <c r="DI103" s="335"/>
      <c r="DJ103" s="335"/>
      <c r="DK103" s="335"/>
      <c r="DL103" s="335"/>
      <c r="DM103" s="335"/>
      <c r="DN103" s="335"/>
      <c r="DO103" s="335"/>
      <c r="DP103" s="335"/>
      <c r="DQ103" s="335"/>
      <c r="DR103" s="335"/>
      <c r="DS103" s="335"/>
      <c r="DT103" s="335"/>
      <c r="DU103" s="335"/>
      <c r="DV103" s="335"/>
      <c r="DW103" s="335"/>
      <c r="DX103" s="335"/>
      <c r="DY103" s="335"/>
      <c r="DZ103" s="335"/>
      <c r="EA103" s="335"/>
      <c r="EB103" s="335"/>
      <c r="EC103" s="335"/>
      <c r="ED103" s="335"/>
      <c r="EE103" s="335"/>
      <c r="EF103" s="335"/>
      <c r="EG103" s="335"/>
      <c r="EH103" s="335"/>
      <c r="EI103" s="335"/>
      <c r="EJ103" s="335"/>
      <c r="EK103" s="335"/>
      <c r="EL103" s="335"/>
      <c r="EM103" s="335"/>
      <c r="EN103" s="335"/>
      <c r="EO103" s="335"/>
      <c r="EP103" s="335"/>
      <c r="EQ103" s="335"/>
      <c r="ER103" s="335"/>
      <c r="ES103" s="335"/>
      <c r="ET103" s="335"/>
      <c r="EU103" s="335"/>
      <c r="EV103" s="335"/>
      <c r="EW103" s="335"/>
      <c r="EX103" s="335"/>
      <c r="EY103" s="335"/>
      <c r="EZ103" s="335"/>
      <c r="FA103" s="335"/>
      <c r="FB103" s="335"/>
      <c r="FC103" s="335"/>
      <c r="FD103" s="335"/>
      <c r="FE103" s="335"/>
      <c r="FF103" s="335"/>
      <c r="FG103" s="335"/>
      <c r="FH103" s="335"/>
      <c r="FI103" s="335"/>
      <c r="FJ103" s="335"/>
      <c r="FK103" s="335"/>
      <c r="FL103" s="335"/>
      <c r="FM103" s="335"/>
      <c r="FN103" s="335"/>
      <c r="FO103" s="335"/>
      <c r="FP103" s="335"/>
      <c r="FQ103" s="335"/>
      <c r="FR103" s="335"/>
      <c r="FS103" s="335"/>
      <c r="FT103" s="335"/>
      <c r="FU103" s="335"/>
      <c r="FV103" s="335"/>
      <c r="FW103" s="335"/>
      <c r="FX103" s="335"/>
      <c r="FY103" s="335"/>
      <c r="FZ103" s="335"/>
      <c r="GA103" s="335"/>
      <c r="GB103" s="335"/>
      <c r="GC103" s="335"/>
      <c r="GD103" s="335"/>
      <c r="GE103" s="335"/>
      <c r="GF103" s="335"/>
      <c r="GG103" s="335"/>
      <c r="GH103" s="335"/>
      <c r="GI103" s="335"/>
      <c r="GJ103" s="335"/>
      <c r="GK103" s="335"/>
      <c r="GL103" s="335"/>
      <c r="GM103" s="335"/>
      <c r="GN103" s="335"/>
      <c r="GO103" s="335"/>
      <c r="GP103" s="335"/>
      <c r="GQ103" s="335"/>
      <c r="GR103" s="335"/>
      <c r="GS103" s="335"/>
      <c r="GT103" s="335"/>
      <c r="GU103" s="335"/>
      <c r="GV103" s="335"/>
      <c r="GW103" s="335"/>
      <c r="GX103" s="335"/>
      <c r="GY103" s="335"/>
      <c r="GZ103" s="335"/>
      <c r="HA103" s="335"/>
      <c r="HB103" s="335"/>
      <c r="HC103" s="335"/>
      <c r="HD103" s="335"/>
      <c r="HE103" s="335"/>
      <c r="HF103" s="335"/>
      <c r="HG103" s="335"/>
      <c r="HH103" s="335"/>
      <c r="HI103" s="335"/>
      <c r="HJ103" s="335"/>
      <c r="HK103" s="335"/>
      <c r="HL103" s="335"/>
      <c r="HM103" s="335"/>
      <c r="HN103" s="335"/>
      <c r="HO103" s="335"/>
      <c r="HP103" s="335"/>
      <c r="HQ103" s="335"/>
      <c r="HR103" s="335"/>
      <c r="HS103" s="335"/>
      <c r="HT103" s="335"/>
      <c r="HU103" s="335"/>
      <c r="HV103" s="335"/>
      <c r="HW103" s="335"/>
      <c r="HX103" s="335"/>
      <c r="HY103" s="335"/>
      <c r="HZ103" s="335"/>
      <c r="IA103" s="335"/>
      <c r="IB103" s="335"/>
      <c r="IC103" s="335"/>
      <c r="ID103" s="335"/>
      <c r="IE103" s="335"/>
      <c r="IF103" s="335"/>
      <c r="IG103" s="335"/>
      <c r="IH103" s="335"/>
      <c r="II103" s="335"/>
      <c r="IJ103" s="335"/>
      <c r="IK103" s="335"/>
      <c r="IL103" s="335"/>
      <c r="IM103" s="335"/>
      <c r="IN103" s="335"/>
      <c r="IO103" s="335"/>
      <c r="IP103" s="335"/>
      <c r="IQ103" s="335"/>
      <c r="IR103" s="335"/>
      <c r="IS103" s="335"/>
    </row>
    <row r="104" spans="1:253" ht="15" customHeight="1">
      <c r="A104" s="330" t="s">
        <v>250</v>
      </c>
      <c r="B104" s="331" t="s">
        <v>534</v>
      </c>
      <c r="C104" s="332" t="s">
        <v>533</v>
      </c>
      <c r="D104" s="333">
        <v>2910000</v>
      </c>
      <c r="E104" s="341">
        <v>0</v>
      </c>
      <c r="F104" s="333">
        <f t="shared" si="2"/>
        <v>1500000</v>
      </c>
      <c r="G104" s="333">
        <v>1500000</v>
      </c>
      <c r="H104" s="333">
        <v>0</v>
      </c>
      <c r="I104" s="331" t="s">
        <v>502</v>
      </c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35"/>
      <c r="AG104" s="335"/>
      <c r="AH104" s="335"/>
      <c r="AI104" s="335"/>
      <c r="AJ104" s="335"/>
      <c r="AK104" s="335"/>
      <c r="AL104" s="335"/>
      <c r="AM104" s="335"/>
      <c r="AN104" s="335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  <c r="BC104" s="335"/>
      <c r="BD104" s="335"/>
      <c r="BE104" s="335"/>
      <c r="BF104" s="335"/>
      <c r="BG104" s="335"/>
      <c r="BH104" s="335"/>
      <c r="BI104" s="335"/>
      <c r="BJ104" s="335"/>
      <c r="BK104" s="335"/>
      <c r="BL104" s="335"/>
      <c r="BM104" s="335"/>
      <c r="BN104" s="335"/>
      <c r="BO104" s="335"/>
      <c r="BP104" s="335"/>
      <c r="BQ104" s="335"/>
      <c r="BR104" s="335"/>
      <c r="BS104" s="335"/>
      <c r="BT104" s="335"/>
      <c r="BU104" s="335"/>
      <c r="BV104" s="335"/>
      <c r="BW104" s="335"/>
      <c r="BX104" s="335"/>
      <c r="BY104" s="335"/>
      <c r="BZ104" s="335"/>
      <c r="CA104" s="335"/>
      <c r="CB104" s="335"/>
      <c r="CC104" s="335"/>
      <c r="CD104" s="335"/>
      <c r="CE104" s="335"/>
      <c r="CF104" s="335"/>
      <c r="CG104" s="335"/>
      <c r="CH104" s="335"/>
      <c r="CI104" s="335"/>
      <c r="CJ104" s="335"/>
      <c r="CK104" s="335"/>
      <c r="CL104" s="335"/>
      <c r="CM104" s="335"/>
      <c r="CN104" s="335"/>
      <c r="CO104" s="335"/>
      <c r="CP104" s="335"/>
      <c r="CQ104" s="335"/>
      <c r="CR104" s="335"/>
      <c r="CS104" s="335"/>
      <c r="CT104" s="335"/>
      <c r="CU104" s="335"/>
      <c r="CV104" s="335"/>
      <c r="CW104" s="335"/>
      <c r="CX104" s="335"/>
      <c r="CY104" s="335"/>
      <c r="CZ104" s="335"/>
      <c r="DA104" s="335"/>
      <c r="DB104" s="335"/>
      <c r="DC104" s="335"/>
      <c r="DD104" s="335"/>
      <c r="DE104" s="335"/>
      <c r="DF104" s="335"/>
      <c r="DG104" s="335"/>
      <c r="DH104" s="335"/>
      <c r="DI104" s="335"/>
      <c r="DJ104" s="335"/>
      <c r="DK104" s="335"/>
      <c r="DL104" s="335"/>
      <c r="DM104" s="335"/>
      <c r="DN104" s="335"/>
      <c r="DO104" s="335"/>
      <c r="DP104" s="335"/>
      <c r="DQ104" s="335"/>
      <c r="DR104" s="335"/>
      <c r="DS104" s="335"/>
      <c r="DT104" s="335"/>
      <c r="DU104" s="335"/>
      <c r="DV104" s="335"/>
      <c r="DW104" s="335"/>
      <c r="DX104" s="335"/>
      <c r="DY104" s="335"/>
      <c r="DZ104" s="335"/>
      <c r="EA104" s="335"/>
      <c r="EB104" s="335"/>
      <c r="EC104" s="335"/>
      <c r="ED104" s="335"/>
      <c r="EE104" s="335"/>
      <c r="EF104" s="335"/>
      <c r="EG104" s="335"/>
      <c r="EH104" s="335"/>
      <c r="EI104" s="335"/>
      <c r="EJ104" s="335"/>
      <c r="EK104" s="335"/>
      <c r="EL104" s="335"/>
      <c r="EM104" s="335"/>
      <c r="EN104" s="335"/>
      <c r="EO104" s="335"/>
      <c r="EP104" s="335"/>
      <c r="EQ104" s="335"/>
      <c r="ER104" s="335"/>
      <c r="ES104" s="335"/>
      <c r="ET104" s="335"/>
      <c r="EU104" s="335"/>
      <c r="EV104" s="335"/>
      <c r="EW104" s="335"/>
      <c r="EX104" s="335"/>
      <c r="EY104" s="335"/>
      <c r="EZ104" s="335"/>
      <c r="FA104" s="335"/>
      <c r="FB104" s="335"/>
      <c r="FC104" s="335"/>
      <c r="FD104" s="335"/>
      <c r="FE104" s="335"/>
      <c r="FF104" s="335"/>
      <c r="FG104" s="335"/>
      <c r="FH104" s="335"/>
      <c r="FI104" s="335"/>
      <c r="FJ104" s="335"/>
      <c r="FK104" s="335"/>
      <c r="FL104" s="335"/>
      <c r="FM104" s="335"/>
      <c r="FN104" s="335"/>
      <c r="FO104" s="335"/>
      <c r="FP104" s="335"/>
      <c r="FQ104" s="335"/>
      <c r="FR104" s="335"/>
      <c r="FS104" s="335"/>
      <c r="FT104" s="335"/>
      <c r="FU104" s="335"/>
      <c r="FV104" s="335"/>
      <c r="FW104" s="335"/>
      <c r="FX104" s="335"/>
      <c r="FY104" s="335"/>
      <c r="FZ104" s="335"/>
      <c r="GA104" s="335"/>
      <c r="GB104" s="335"/>
      <c r="GC104" s="335"/>
      <c r="GD104" s="335"/>
      <c r="GE104" s="335"/>
      <c r="GF104" s="335"/>
      <c r="GG104" s="335"/>
      <c r="GH104" s="335"/>
      <c r="GI104" s="335"/>
      <c r="GJ104" s="335"/>
      <c r="GK104" s="335"/>
      <c r="GL104" s="335"/>
      <c r="GM104" s="335"/>
      <c r="GN104" s="335"/>
      <c r="GO104" s="335"/>
      <c r="GP104" s="335"/>
      <c r="GQ104" s="335"/>
      <c r="GR104" s="335"/>
      <c r="GS104" s="335"/>
      <c r="GT104" s="335"/>
      <c r="GU104" s="335"/>
      <c r="GV104" s="335"/>
      <c r="GW104" s="335"/>
      <c r="GX104" s="335"/>
      <c r="GY104" s="335"/>
      <c r="GZ104" s="335"/>
      <c r="HA104" s="335"/>
      <c r="HB104" s="335"/>
      <c r="HC104" s="335"/>
      <c r="HD104" s="335"/>
      <c r="HE104" s="335"/>
      <c r="HF104" s="335"/>
      <c r="HG104" s="335"/>
      <c r="HH104" s="335"/>
      <c r="HI104" s="335"/>
      <c r="HJ104" s="335"/>
      <c r="HK104" s="335"/>
      <c r="HL104" s="335"/>
      <c r="HM104" s="335"/>
      <c r="HN104" s="335"/>
      <c r="HO104" s="335"/>
      <c r="HP104" s="335"/>
      <c r="HQ104" s="335"/>
      <c r="HR104" s="335"/>
      <c r="HS104" s="335"/>
      <c r="HT104" s="335"/>
      <c r="HU104" s="335"/>
      <c r="HV104" s="335"/>
      <c r="HW104" s="335"/>
      <c r="HX104" s="335"/>
      <c r="HY104" s="335"/>
      <c r="HZ104" s="335"/>
      <c r="IA104" s="335"/>
      <c r="IB104" s="335"/>
      <c r="IC104" s="335"/>
      <c r="ID104" s="335"/>
      <c r="IE104" s="335"/>
      <c r="IF104" s="335"/>
      <c r="IG104" s="335"/>
      <c r="IH104" s="335"/>
      <c r="II104" s="335"/>
      <c r="IJ104" s="335"/>
      <c r="IK104" s="335"/>
      <c r="IL104" s="335"/>
      <c r="IM104" s="335"/>
      <c r="IN104" s="335"/>
      <c r="IO104" s="335"/>
      <c r="IP104" s="335"/>
      <c r="IQ104" s="335"/>
      <c r="IR104" s="335"/>
      <c r="IS104" s="335"/>
    </row>
    <row r="105" spans="1:253" s="672" customFormat="1" ht="29.1" customHeight="1">
      <c r="A105" s="667" t="s">
        <v>329</v>
      </c>
      <c r="B105" s="668" t="s">
        <v>535</v>
      </c>
      <c r="C105" s="669" t="s">
        <v>517</v>
      </c>
      <c r="D105" s="670">
        <v>3657000</v>
      </c>
      <c r="E105" s="679">
        <v>1219000</v>
      </c>
      <c r="F105" s="670">
        <f t="shared" si="2"/>
        <v>1219000</v>
      </c>
      <c r="G105" s="670">
        <v>1219000</v>
      </c>
      <c r="H105" s="670">
        <v>0</v>
      </c>
      <c r="I105" s="668" t="s">
        <v>424</v>
      </c>
    </row>
    <row r="106" spans="1:253" s="672" customFormat="1" ht="29.1" customHeight="1">
      <c r="A106" s="667" t="s">
        <v>329</v>
      </c>
      <c r="B106" s="668" t="s">
        <v>536</v>
      </c>
      <c r="C106" s="669" t="s">
        <v>517</v>
      </c>
      <c r="D106" s="670">
        <v>7935000</v>
      </c>
      <c r="E106" s="679">
        <v>2645000</v>
      </c>
      <c r="F106" s="670">
        <f t="shared" si="2"/>
        <v>2645000</v>
      </c>
      <c r="G106" s="670">
        <v>2645000</v>
      </c>
      <c r="H106" s="670">
        <v>0</v>
      </c>
      <c r="I106" s="668" t="s">
        <v>424</v>
      </c>
    </row>
    <row r="107" spans="1:253" s="672" customFormat="1" ht="54.95" customHeight="1">
      <c r="A107" s="667" t="s">
        <v>537</v>
      </c>
      <c r="B107" s="668" t="s">
        <v>538</v>
      </c>
      <c r="C107" s="669" t="s">
        <v>539</v>
      </c>
      <c r="D107" s="670">
        <v>150000</v>
      </c>
      <c r="E107" s="679">
        <v>0</v>
      </c>
      <c r="F107" s="670">
        <f t="shared" si="2"/>
        <v>150000</v>
      </c>
      <c r="G107" s="670">
        <v>150000</v>
      </c>
      <c r="H107" s="670">
        <v>0</v>
      </c>
      <c r="I107" s="668" t="s">
        <v>424</v>
      </c>
    </row>
    <row r="108" spans="1:253" ht="15" customHeight="1">
      <c r="A108" s="330" t="s">
        <v>332</v>
      </c>
      <c r="B108" s="331" t="s">
        <v>540</v>
      </c>
      <c r="C108" s="332" t="s">
        <v>511</v>
      </c>
      <c r="D108" s="333">
        <v>32234476</v>
      </c>
      <c r="E108" s="341">
        <v>5610274</v>
      </c>
      <c r="F108" s="333">
        <f t="shared" si="2"/>
        <v>26624202</v>
      </c>
      <c r="G108" s="333">
        <v>26624202</v>
      </c>
      <c r="H108" s="333">
        <v>0</v>
      </c>
      <c r="I108" s="331" t="s">
        <v>464</v>
      </c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E108" s="335"/>
      <c r="AF108" s="335"/>
      <c r="AG108" s="335"/>
      <c r="AH108" s="335"/>
      <c r="AI108" s="335"/>
      <c r="AJ108" s="335"/>
      <c r="AK108" s="335"/>
      <c r="AL108" s="335"/>
      <c r="AM108" s="335"/>
      <c r="AN108" s="335"/>
      <c r="AO108" s="335"/>
      <c r="AP108" s="335"/>
      <c r="AQ108" s="335"/>
      <c r="AR108" s="335"/>
      <c r="AS108" s="335"/>
      <c r="AT108" s="335"/>
      <c r="AU108" s="335"/>
      <c r="AV108" s="335"/>
      <c r="AW108" s="335"/>
      <c r="AX108" s="335"/>
      <c r="AY108" s="335"/>
      <c r="AZ108" s="335"/>
      <c r="BA108" s="335"/>
      <c r="BB108" s="335"/>
      <c r="BC108" s="335"/>
      <c r="BD108" s="335"/>
      <c r="BE108" s="335"/>
      <c r="BF108" s="335"/>
      <c r="BG108" s="335"/>
      <c r="BH108" s="335"/>
      <c r="BI108" s="335"/>
      <c r="BJ108" s="335"/>
      <c r="BK108" s="335"/>
      <c r="BL108" s="335"/>
      <c r="BM108" s="335"/>
      <c r="BN108" s="335"/>
      <c r="BO108" s="335"/>
      <c r="BP108" s="335"/>
      <c r="BQ108" s="335"/>
      <c r="BR108" s="335"/>
      <c r="BS108" s="335"/>
      <c r="BT108" s="335"/>
      <c r="BU108" s="335"/>
      <c r="BV108" s="335"/>
      <c r="BW108" s="335"/>
      <c r="BX108" s="335"/>
      <c r="BY108" s="335"/>
      <c r="BZ108" s="335"/>
      <c r="CA108" s="335"/>
      <c r="CB108" s="335"/>
      <c r="CC108" s="335"/>
      <c r="CD108" s="335"/>
      <c r="CE108" s="335"/>
      <c r="CF108" s="335"/>
      <c r="CG108" s="335"/>
      <c r="CH108" s="335"/>
      <c r="CI108" s="335"/>
      <c r="CJ108" s="335"/>
      <c r="CK108" s="335"/>
      <c r="CL108" s="335"/>
      <c r="CM108" s="335"/>
      <c r="CN108" s="335"/>
      <c r="CO108" s="335"/>
      <c r="CP108" s="335"/>
      <c r="CQ108" s="335"/>
      <c r="CR108" s="335"/>
      <c r="CS108" s="335"/>
      <c r="CT108" s="335"/>
      <c r="CU108" s="335"/>
      <c r="CV108" s="335"/>
      <c r="CW108" s="335"/>
      <c r="CX108" s="335"/>
      <c r="CY108" s="335"/>
      <c r="CZ108" s="335"/>
      <c r="DA108" s="335"/>
      <c r="DB108" s="335"/>
      <c r="DC108" s="335"/>
      <c r="DD108" s="335"/>
      <c r="DE108" s="335"/>
      <c r="DF108" s="335"/>
      <c r="DG108" s="335"/>
      <c r="DH108" s="335"/>
      <c r="DI108" s="335"/>
      <c r="DJ108" s="335"/>
      <c r="DK108" s="335"/>
      <c r="DL108" s="335"/>
      <c r="DM108" s="335"/>
      <c r="DN108" s="335"/>
      <c r="DO108" s="335"/>
      <c r="DP108" s="335"/>
      <c r="DQ108" s="335"/>
      <c r="DR108" s="335"/>
      <c r="DS108" s="335"/>
      <c r="DT108" s="335"/>
      <c r="DU108" s="335"/>
      <c r="DV108" s="335"/>
      <c r="DW108" s="335"/>
      <c r="DX108" s="335"/>
      <c r="DY108" s="335"/>
      <c r="DZ108" s="335"/>
      <c r="EA108" s="335"/>
      <c r="EB108" s="335"/>
      <c r="EC108" s="335"/>
      <c r="ED108" s="335"/>
      <c r="EE108" s="335"/>
      <c r="EF108" s="335"/>
      <c r="EG108" s="335"/>
      <c r="EH108" s="335"/>
      <c r="EI108" s="335"/>
      <c r="EJ108" s="335"/>
      <c r="EK108" s="335"/>
      <c r="EL108" s="335"/>
      <c r="EM108" s="335"/>
      <c r="EN108" s="335"/>
      <c r="EO108" s="335"/>
      <c r="EP108" s="335"/>
      <c r="EQ108" s="335"/>
      <c r="ER108" s="335"/>
      <c r="ES108" s="335"/>
      <c r="ET108" s="335"/>
      <c r="EU108" s="335"/>
      <c r="EV108" s="335"/>
      <c r="EW108" s="335"/>
      <c r="EX108" s="335"/>
      <c r="EY108" s="335"/>
      <c r="EZ108" s="335"/>
      <c r="FA108" s="335"/>
      <c r="FB108" s="335"/>
      <c r="FC108" s="335"/>
      <c r="FD108" s="335"/>
      <c r="FE108" s="335"/>
      <c r="FF108" s="335"/>
      <c r="FG108" s="335"/>
      <c r="FH108" s="335"/>
      <c r="FI108" s="335"/>
      <c r="FJ108" s="335"/>
      <c r="FK108" s="335"/>
      <c r="FL108" s="335"/>
      <c r="FM108" s="335"/>
      <c r="FN108" s="335"/>
      <c r="FO108" s="335"/>
      <c r="FP108" s="335"/>
      <c r="FQ108" s="335"/>
      <c r="FR108" s="335"/>
      <c r="FS108" s="335"/>
      <c r="FT108" s="335"/>
      <c r="FU108" s="335"/>
      <c r="FV108" s="335"/>
      <c r="FW108" s="335"/>
      <c r="FX108" s="335"/>
      <c r="FY108" s="335"/>
      <c r="FZ108" s="335"/>
      <c r="GA108" s="335"/>
      <c r="GB108" s="335"/>
      <c r="GC108" s="335"/>
      <c r="GD108" s="335"/>
      <c r="GE108" s="335"/>
      <c r="GF108" s="335"/>
      <c r="GG108" s="335"/>
      <c r="GH108" s="335"/>
      <c r="GI108" s="335"/>
      <c r="GJ108" s="335"/>
      <c r="GK108" s="335"/>
      <c r="GL108" s="335"/>
      <c r="GM108" s="335"/>
      <c r="GN108" s="335"/>
      <c r="GO108" s="335"/>
      <c r="GP108" s="335"/>
      <c r="GQ108" s="335"/>
      <c r="GR108" s="335"/>
      <c r="GS108" s="335"/>
      <c r="GT108" s="335"/>
      <c r="GU108" s="335"/>
      <c r="GV108" s="335"/>
      <c r="GW108" s="335"/>
      <c r="GX108" s="335"/>
      <c r="GY108" s="335"/>
      <c r="GZ108" s="335"/>
      <c r="HA108" s="335"/>
      <c r="HB108" s="335"/>
      <c r="HC108" s="335"/>
      <c r="HD108" s="335"/>
      <c r="HE108" s="335"/>
      <c r="HF108" s="335"/>
      <c r="HG108" s="335"/>
      <c r="HH108" s="335"/>
      <c r="HI108" s="335"/>
      <c r="HJ108" s="335"/>
      <c r="HK108" s="335"/>
      <c r="HL108" s="335"/>
      <c r="HM108" s="335"/>
      <c r="HN108" s="335"/>
      <c r="HO108" s="335"/>
      <c r="HP108" s="335"/>
      <c r="HQ108" s="335"/>
      <c r="HR108" s="335"/>
      <c r="HS108" s="335"/>
      <c r="HT108" s="335"/>
      <c r="HU108" s="335"/>
      <c r="HV108" s="335"/>
      <c r="HW108" s="335"/>
      <c r="HX108" s="335"/>
      <c r="HY108" s="335"/>
      <c r="HZ108" s="335"/>
      <c r="IA108" s="335"/>
      <c r="IB108" s="335"/>
      <c r="IC108" s="335"/>
      <c r="ID108" s="335"/>
      <c r="IE108" s="335"/>
      <c r="IF108" s="335"/>
      <c r="IG108" s="335"/>
      <c r="IH108" s="335"/>
      <c r="II108" s="335"/>
      <c r="IJ108" s="335"/>
      <c r="IK108" s="335"/>
      <c r="IL108" s="335"/>
      <c r="IM108" s="335"/>
      <c r="IN108" s="335"/>
      <c r="IO108" s="335"/>
      <c r="IP108" s="335"/>
      <c r="IQ108" s="335"/>
      <c r="IR108" s="335"/>
      <c r="IS108" s="335"/>
    </row>
    <row r="109" spans="1:253" ht="15" customHeight="1">
      <c r="A109" s="324" t="s">
        <v>25</v>
      </c>
      <c r="B109" s="325" t="s">
        <v>26</v>
      </c>
      <c r="C109" s="326" t="s">
        <v>421</v>
      </c>
      <c r="D109" s="327">
        <f>D110</f>
        <v>339600</v>
      </c>
      <c r="E109" s="327">
        <f>E110</f>
        <v>162260</v>
      </c>
      <c r="F109" s="327">
        <f>F110</f>
        <v>22640</v>
      </c>
      <c r="G109" s="327">
        <f>G110</f>
        <v>22640</v>
      </c>
      <c r="H109" s="327">
        <f>H110</f>
        <v>0</v>
      </c>
      <c r="I109" s="326" t="s">
        <v>421</v>
      </c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  <c r="AF109" s="329"/>
      <c r="AG109" s="329"/>
      <c r="AH109" s="329"/>
      <c r="AI109" s="329"/>
      <c r="AJ109" s="329"/>
      <c r="AK109" s="329"/>
      <c r="AL109" s="329"/>
      <c r="AM109" s="329"/>
      <c r="AN109" s="329"/>
      <c r="AO109" s="329"/>
      <c r="AP109" s="329"/>
      <c r="AQ109" s="329"/>
      <c r="AR109" s="329"/>
      <c r="AS109" s="329"/>
      <c r="AT109" s="329"/>
      <c r="AU109" s="329"/>
      <c r="AV109" s="329"/>
      <c r="AW109" s="329"/>
      <c r="AX109" s="329"/>
      <c r="AY109" s="329"/>
      <c r="AZ109" s="329"/>
      <c r="BA109" s="329"/>
      <c r="BB109" s="329"/>
      <c r="BC109" s="329"/>
      <c r="BD109" s="329"/>
      <c r="BE109" s="329"/>
      <c r="BF109" s="329"/>
      <c r="BG109" s="329"/>
      <c r="BH109" s="329"/>
      <c r="BI109" s="329"/>
      <c r="BJ109" s="329"/>
      <c r="BK109" s="329"/>
      <c r="BL109" s="329"/>
      <c r="BM109" s="329"/>
      <c r="BN109" s="329"/>
      <c r="BO109" s="329"/>
      <c r="BP109" s="329"/>
      <c r="BQ109" s="329"/>
      <c r="BR109" s="329"/>
      <c r="BS109" s="329"/>
      <c r="BT109" s="329"/>
      <c r="BU109" s="329"/>
      <c r="BV109" s="329"/>
      <c r="BW109" s="329"/>
      <c r="BX109" s="329"/>
      <c r="BY109" s="329"/>
      <c r="BZ109" s="329"/>
      <c r="CA109" s="329"/>
      <c r="CB109" s="329"/>
      <c r="CC109" s="329"/>
      <c r="CD109" s="329"/>
      <c r="CE109" s="329"/>
      <c r="CF109" s="329"/>
      <c r="CG109" s="329"/>
      <c r="CH109" s="329"/>
      <c r="CI109" s="329"/>
      <c r="CJ109" s="329"/>
      <c r="CK109" s="329"/>
      <c r="CL109" s="329"/>
      <c r="CM109" s="329"/>
      <c r="CN109" s="329"/>
      <c r="CO109" s="329"/>
      <c r="CP109" s="329"/>
      <c r="CQ109" s="329"/>
      <c r="CR109" s="329"/>
      <c r="CS109" s="329"/>
      <c r="CT109" s="329"/>
      <c r="CU109" s="329"/>
      <c r="CV109" s="329"/>
      <c r="CW109" s="329"/>
      <c r="CX109" s="329"/>
      <c r="CY109" s="329"/>
      <c r="CZ109" s="329"/>
      <c r="DA109" s="329"/>
      <c r="DB109" s="329"/>
      <c r="DC109" s="329"/>
      <c r="DD109" s="329"/>
      <c r="DE109" s="329"/>
      <c r="DF109" s="329"/>
      <c r="DG109" s="329"/>
      <c r="DH109" s="329"/>
      <c r="DI109" s="329"/>
      <c r="DJ109" s="329"/>
      <c r="DK109" s="329"/>
      <c r="DL109" s="329"/>
      <c r="DM109" s="329"/>
      <c r="DN109" s="329"/>
      <c r="DO109" s="329"/>
      <c r="DP109" s="329"/>
      <c r="DQ109" s="329"/>
      <c r="DR109" s="329"/>
      <c r="DS109" s="329"/>
      <c r="DT109" s="329"/>
      <c r="DU109" s="329"/>
      <c r="DV109" s="329"/>
      <c r="DW109" s="329"/>
      <c r="DX109" s="329"/>
      <c r="DY109" s="329"/>
      <c r="DZ109" s="329"/>
      <c r="EA109" s="329"/>
      <c r="EB109" s="329"/>
      <c r="EC109" s="329"/>
      <c r="ED109" s="329"/>
      <c r="EE109" s="329"/>
      <c r="EF109" s="329"/>
      <c r="EG109" s="329"/>
      <c r="EH109" s="329"/>
      <c r="EI109" s="329"/>
      <c r="EJ109" s="329"/>
      <c r="EK109" s="329"/>
      <c r="EL109" s="329"/>
      <c r="EM109" s="329"/>
      <c r="EN109" s="329"/>
      <c r="EO109" s="329"/>
      <c r="EP109" s="329"/>
      <c r="EQ109" s="329"/>
      <c r="ER109" s="329"/>
      <c r="ES109" s="329"/>
      <c r="ET109" s="329"/>
      <c r="EU109" s="329"/>
      <c r="EV109" s="329"/>
      <c r="EW109" s="329"/>
      <c r="EX109" s="329"/>
      <c r="EY109" s="329"/>
      <c r="EZ109" s="329"/>
      <c r="FA109" s="329"/>
      <c r="FB109" s="329"/>
      <c r="FC109" s="329"/>
      <c r="FD109" s="329"/>
      <c r="FE109" s="329"/>
      <c r="FF109" s="329"/>
      <c r="FG109" s="329"/>
      <c r="FH109" s="329"/>
      <c r="FI109" s="329"/>
      <c r="FJ109" s="329"/>
      <c r="FK109" s="329"/>
      <c r="FL109" s="329"/>
      <c r="FM109" s="329"/>
      <c r="FN109" s="329"/>
      <c r="FO109" s="329"/>
      <c r="FP109" s="329"/>
      <c r="FQ109" s="329"/>
      <c r="FR109" s="329"/>
      <c r="FS109" s="329"/>
      <c r="FT109" s="329"/>
      <c r="FU109" s="329"/>
      <c r="FV109" s="329"/>
      <c r="FW109" s="329"/>
      <c r="FX109" s="329"/>
      <c r="FY109" s="329"/>
      <c r="FZ109" s="329"/>
      <c r="GA109" s="329"/>
      <c r="GB109" s="329"/>
      <c r="GC109" s="329"/>
      <c r="GD109" s="329"/>
      <c r="GE109" s="329"/>
      <c r="GF109" s="329"/>
      <c r="GG109" s="329"/>
      <c r="GH109" s="329"/>
      <c r="GI109" s="329"/>
      <c r="GJ109" s="329"/>
      <c r="GK109" s="329"/>
      <c r="GL109" s="329"/>
      <c r="GM109" s="329"/>
      <c r="GN109" s="329"/>
      <c r="GO109" s="329"/>
      <c r="GP109" s="329"/>
      <c r="GQ109" s="329"/>
      <c r="GR109" s="329"/>
      <c r="GS109" s="329"/>
      <c r="GT109" s="329"/>
      <c r="GU109" s="329"/>
      <c r="GV109" s="329"/>
      <c r="GW109" s="329"/>
      <c r="GX109" s="329"/>
      <c r="GY109" s="329"/>
      <c r="GZ109" s="329"/>
      <c r="HA109" s="329"/>
      <c r="HB109" s="329"/>
      <c r="HC109" s="329"/>
      <c r="HD109" s="329"/>
      <c r="HE109" s="329"/>
      <c r="HF109" s="329"/>
      <c r="HG109" s="329"/>
      <c r="HH109" s="329"/>
      <c r="HI109" s="329"/>
      <c r="HJ109" s="329"/>
      <c r="HK109" s="329"/>
      <c r="HL109" s="329"/>
      <c r="HM109" s="329"/>
      <c r="HN109" s="329"/>
      <c r="HO109" s="329"/>
      <c r="HP109" s="329"/>
      <c r="HQ109" s="329"/>
      <c r="HR109" s="329"/>
      <c r="HS109" s="329"/>
      <c r="HT109" s="329"/>
      <c r="HU109" s="329"/>
      <c r="HV109" s="329"/>
      <c r="HW109" s="329"/>
      <c r="HX109" s="329"/>
      <c r="HY109" s="329"/>
      <c r="HZ109" s="329"/>
      <c r="IA109" s="329"/>
      <c r="IB109" s="329"/>
      <c r="IC109" s="329"/>
      <c r="ID109" s="329"/>
      <c r="IE109" s="329"/>
      <c r="IF109" s="329"/>
      <c r="IG109" s="329"/>
      <c r="IH109" s="329"/>
      <c r="II109" s="329"/>
      <c r="IJ109" s="329"/>
      <c r="IK109" s="329"/>
      <c r="IL109" s="329"/>
      <c r="IM109" s="329"/>
      <c r="IN109" s="329"/>
      <c r="IO109" s="329"/>
      <c r="IP109" s="329"/>
      <c r="IQ109" s="329"/>
      <c r="IR109" s="329"/>
      <c r="IS109" s="329"/>
    </row>
    <row r="110" spans="1:253" s="672" customFormat="1" ht="29.1" customHeight="1">
      <c r="A110" s="667" t="s">
        <v>337</v>
      </c>
      <c r="B110" s="668" t="s">
        <v>541</v>
      </c>
      <c r="C110" s="669" t="s">
        <v>542</v>
      </c>
      <c r="D110" s="670">
        <v>339600</v>
      </c>
      <c r="E110" s="679">
        <v>162260</v>
      </c>
      <c r="F110" s="670">
        <f>G110+H110</f>
        <v>22640</v>
      </c>
      <c r="G110" s="670">
        <v>22640</v>
      </c>
      <c r="H110" s="670">
        <v>0</v>
      </c>
      <c r="I110" s="668" t="s">
        <v>424</v>
      </c>
    </row>
    <row r="111" spans="1:253" ht="15" customHeight="1">
      <c r="A111" s="324" t="s">
        <v>72</v>
      </c>
      <c r="B111" s="325" t="s">
        <v>343</v>
      </c>
      <c r="C111" s="326" t="s">
        <v>421</v>
      </c>
      <c r="D111" s="327">
        <f>D112</f>
        <v>434556</v>
      </c>
      <c r="E111" s="327">
        <f>E112</f>
        <v>0</v>
      </c>
      <c r="F111" s="327">
        <f>F112</f>
        <v>108639</v>
      </c>
      <c r="G111" s="327">
        <f>G112</f>
        <v>108639</v>
      </c>
      <c r="H111" s="327">
        <f>H112</f>
        <v>0</v>
      </c>
      <c r="I111" s="326" t="s">
        <v>421</v>
      </c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  <c r="AF111" s="329"/>
      <c r="AG111" s="329"/>
      <c r="AH111" s="329"/>
      <c r="AI111" s="329"/>
      <c r="AJ111" s="329"/>
      <c r="AK111" s="329"/>
      <c r="AL111" s="329"/>
      <c r="AM111" s="329"/>
      <c r="AN111" s="329"/>
      <c r="AO111" s="329"/>
      <c r="AP111" s="329"/>
      <c r="AQ111" s="329"/>
      <c r="AR111" s="329"/>
      <c r="AS111" s="329"/>
      <c r="AT111" s="329"/>
      <c r="AU111" s="329"/>
      <c r="AV111" s="329"/>
      <c r="AW111" s="329"/>
      <c r="AX111" s="329"/>
      <c r="AY111" s="329"/>
      <c r="AZ111" s="329"/>
      <c r="BA111" s="329"/>
      <c r="BB111" s="329"/>
      <c r="BC111" s="329"/>
      <c r="BD111" s="329"/>
      <c r="BE111" s="329"/>
      <c r="BF111" s="329"/>
      <c r="BG111" s="329"/>
      <c r="BH111" s="329"/>
      <c r="BI111" s="329"/>
      <c r="BJ111" s="329"/>
      <c r="BK111" s="329"/>
      <c r="BL111" s="329"/>
      <c r="BM111" s="329"/>
      <c r="BN111" s="329"/>
      <c r="BO111" s="329"/>
      <c r="BP111" s="329"/>
      <c r="BQ111" s="329"/>
      <c r="BR111" s="329"/>
      <c r="BS111" s="329"/>
      <c r="BT111" s="329"/>
      <c r="BU111" s="329"/>
      <c r="BV111" s="329"/>
      <c r="BW111" s="329"/>
      <c r="BX111" s="329"/>
      <c r="BY111" s="329"/>
      <c r="BZ111" s="329"/>
      <c r="CA111" s="329"/>
      <c r="CB111" s="329"/>
      <c r="CC111" s="329"/>
      <c r="CD111" s="329"/>
      <c r="CE111" s="329"/>
      <c r="CF111" s="329"/>
      <c r="CG111" s="329"/>
      <c r="CH111" s="329"/>
      <c r="CI111" s="329"/>
      <c r="CJ111" s="329"/>
      <c r="CK111" s="329"/>
      <c r="CL111" s="329"/>
      <c r="CM111" s="329"/>
      <c r="CN111" s="329"/>
      <c r="CO111" s="329"/>
      <c r="CP111" s="329"/>
      <c r="CQ111" s="329"/>
      <c r="CR111" s="329"/>
      <c r="CS111" s="329"/>
      <c r="CT111" s="329"/>
      <c r="CU111" s="329"/>
      <c r="CV111" s="329"/>
      <c r="CW111" s="329"/>
      <c r="CX111" s="329"/>
      <c r="CY111" s="329"/>
      <c r="CZ111" s="329"/>
      <c r="DA111" s="329"/>
      <c r="DB111" s="329"/>
      <c r="DC111" s="329"/>
      <c r="DD111" s="329"/>
      <c r="DE111" s="329"/>
      <c r="DF111" s="329"/>
      <c r="DG111" s="329"/>
      <c r="DH111" s="329"/>
      <c r="DI111" s="329"/>
      <c r="DJ111" s="329"/>
      <c r="DK111" s="329"/>
      <c r="DL111" s="329"/>
      <c r="DM111" s="329"/>
      <c r="DN111" s="329"/>
      <c r="DO111" s="329"/>
      <c r="DP111" s="329"/>
      <c r="DQ111" s="329"/>
      <c r="DR111" s="329"/>
      <c r="DS111" s="329"/>
      <c r="DT111" s="329"/>
      <c r="DU111" s="329"/>
      <c r="DV111" s="329"/>
      <c r="DW111" s="329"/>
      <c r="DX111" s="329"/>
      <c r="DY111" s="329"/>
      <c r="DZ111" s="329"/>
      <c r="EA111" s="329"/>
      <c r="EB111" s="329"/>
      <c r="EC111" s="329"/>
      <c r="ED111" s="329"/>
      <c r="EE111" s="329"/>
      <c r="EF111" s="329"/>
      <c r="EG111" s="329"/>
      <c r="EH111" s="329"/>
      <c r="EI111" s="329"/>
      <c r="EJ111" s="329"/>
      <c r="EK111" s="329"/>
      <c r="EL111" s="329"/>
      <c r="EM111" s="329"/>
      <c r="EN111" s="329"/>
      <c r="EO111" s="329"/>
      <c r="EP111" s="329"/>
      <c r="EQ111" s="329"/>
      <c r="ER111" s="329"/>
      <c r="ES111" s="329"/>
      <c r="ET111" s="329"/>
      <c r="EU111" s="329"/>
      <c r="EV111" s="329"/>
      <c r="EW111" s="329"/>
      <c r="EX111" s="329"/>
      <c r="EY111" s="329"/>
      <c r="EZ111" s="329"/>
      <c r="FA111" s="329"/>
      <c r="FB111" s="329"/>
      <c r="FC111" s="329"/>
      <c r="FD111" s="329"/>
      <c r="FE111" s="329"/>
      <c r="FF111" s="329"/>
      <c r="FG111" s="329"/>
      <c r="FH111" s="329"/>
      <c r="FI111" s="329"/>
      <c r="FJ111" s="329"/>
      <c r="FK111" s="329"/>
      <c r="FL111" s="329"/>
      <c r="FM111" s="329"/>
      <c r="FN111" s="329"/>
      <c r="FO111" s="329"/>
      <c r="FP111" s="329"/>
      <c r="FQ111" s="329"/>
      <c r="FR111" s="329"/>
      <c r="FS111" s="329"/>
      <c r="FT111" s="329"/>
      <c r="FU111" s="329"/>
      <c r="FV111" s="329"/>
      <c r="FW111" s="329"/>
      <c r="FX111" s="329"/>
      <c r="FY111" s="329"/>
      <c r="FZ111" s="329"/>
      <c r="GA111" s="329"/>
      <c r="GB111" s="329"/>
      <c r="GC111" s="329"/>
      <c r="GD111" s="329"/>
      <c r="GE111" s="329"/>
      <c r="GF111" s="329"/>
      <c r="GG111" s="329"/>
      <c r="GH111" s="329"/>
      <c r="GI111" s="329"/>
      <c r="GJ111" s="329"/>
      <c r="GK111" s="329"/>
      <c r="GL111" s="329"/>
      <c r="GM111" s="329"/>
      <c r="GN111" s="329"/>
      <c r="GO111" s="329"/>
      <c r="GP111" s="329"/>
      <c r="GQ111" s="329"/>
      <c r="GR111" s="329"/>
      <c r="GS111" s="329"/>
      <c r="GT111" s="329"/>
      <c r="GU111" s="329"/>
      <c r="GV111" s="329"/>
      <c r="GW111" s="329"/>
      <c r="GX111" s="329"/>
      <c r="GY111" s="329"/>
      <c r="GZ111" s="329"/>
      <c r="HA111" s="329"/>
      <c r="HB111" s="329"/>
      <c r="HC111" s="329"/>
      <c r="HD111" s="329"/>
      <c r="HE111" s="329"/>
      <c r="HF111" s="329"/>
      <c r="HG111" s="329"/>
      <c r="HH111" s="329"/>
      <c r="HI111" s="329"/>
      <c r="HJ111" s="329"/>
      <c r="HK111" s="329"/>
      <c r="HL111" s="329"/>
      <c r="HM111" s="329"/>
      <c r="HN111" s="329"/>
      <c r="HO111" s="329"/>
      <c r="HP111" s="329"/>
      <c r="HQ111" s="329"/>
      <c r="HR111" s="329"/>
      <c r="HS111" s="329"/>
      <c r="HT111" s="329"/>
      <c r="HU111" s="329"/>
      <c r="HV111" s="329"/>
      <c r="HW111" s="329"/>
      <c r="HX111" s="329"/>
      <c r="HY111" s="329"/>
      <c r="HZ111" s="329"/>
      <c r="IA111" s="329"/>
      <c r="IB111" s="329"/>
      <c r="IC111" s="329"/>
      <c r="ID111" s="329"/>
      <c r="IE111" s="329"/>
      <c r="IF111" s="329"/>
      <c r="IG111" s="329"/>
      <c r="IH111" s="329"/>
      <c r="II111" s="329"/>
      <c r="IJ111" s="329"/>
      <c r="IK111" s="329"/>
      <c r="IL111" s="329"/>
      <c r="IM111" s="329"/>
      <c r="IN111" s="329"/>
      <c r="IO111" s="329"/>
      <c r="IP111" s="329"/>
      <c r="IQ111" s="329"/>
      <c r="IR111" s="329"/>
      <c r="IS111" s="329"/>
    </row>
    <row r="112" spans="1:253" s="672" customFormat="1" ht="29.1" customHeight="1">
      <c r="A112" s="667" t="s">
        <v>344</v>
      </c>
      <c r="B112" s="668" t="s">
        <v>543</v>
      </c>
      <c r="C112" s="669" t="s">
        <v>544</v>
      </c>
      <c r="D112" s="670">
        <v>434556</v>
      </c>
      <c r="E112" s="679">
        <v>0</v>
      </c>
      <c r="F112" s="670">
        <f>G112+H112</f>
        <v>108639</v>
      </c>
      <c r="G112" s="670">
        <v>108639</v>
      </c>
      <c r="H112" s="670">
        <v>0</v>
      </c>
      <c r="I112" s="668" t="s">
        <v>424</v>
      </c>
    </row>
    <row r="113" spans="1:253" ht="15" customHeight="1">
      <c r="A113" s="324" t="s">
        <v>29</v>
      </c>
      <c r="B113" s="325" t="s">
        <v>30</v>
      </c>
      <c r="C113" s="326"/>
      <c r="D113" s="342">
        <f>D114</f>
        <v>44945181</v>
      </c>
      <c r="E113" s="342">
        <f>E114</f>
        <v>7445181</v>
      </c>
      <c r="F113" s="342">
        <f>F114</f>
        <v>6000000</v>
      </c>
      <c r="G113" s="342">
        <f>G114</f>
        <v>6000000</v>
      </c>
      <c r="H113" s="342">
        <f>H114</f>
        <v>0</v>
      </c>
      <c r="I113" s="343" t="s">
        <v>421</v>
      </c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329"/>
      <c r="AF113" s="329"/>
      <c r="AG113" s="329"/>
      <c r="AH113" s="329"/>
      <c r="AI113" s="329"/>
      <c r="AJ113" s="329"/>
      <c r="AK113" s="329"/>
      <c r="AL113" s="329"/>
      <c r="AM113" s="329"/>
      <c r="AN113" s="329"/>
      <c r="AO113" s="329"/>
      <c r="AP113" s="329"/>
      <c r="AQ113" s="329"/>
      <c r="AR113" s="329"/>
      <c r="AS113" s="329"/>
      <c r="AT113" s="329"/>
      <c r="AU113" s="329"/>
      <c r="AV113" s="329"/>
      <c r="AW113" s="329"/>
      <c r="AX113" s="329"/>
      <c r="AY113" s="329"/>
      <c r="AZ113" s="329"/>
      <c r="BA113" s="329"/>
      <c r="BB113" s="329"/>
      <c r="BC113" s="329"/>
      <c r="BD113" s="329"/>
      <c r="BE113" s="329"/>
      <c r="BF113" s="329"/>
      <c r="BG113" s="329"/>
      <c r="BH113" s="329"/>
      <c r="BI113" s="329"/>
      <c r="BJ113" s="329"/>
      <c r="BK113" s="329"/>
      <c r="BL113" s="329"/>
      <c r="BM113" s="329"/>
      <c r="BN113" s="329"/>
      <c r="BO113" s="329"/>
      <c r="BP113" s="329"/>
      <c r="BQ113" s="329"/>
      <c r="BR113" s="329"/>
      <c r="BS113" s="329"/>
      <c r="BT113" s="329"/>
      <c r="BU113" s="329"/>
      <c r="BV113" s="329"/>
      <c r="BW113" s="329"/>
      <c r="BX113" s="329"/>
      <c r="BY113" s="329"/>
      <c r="BZ113" s="329"/>
      <c r="CA113" s="329"/>
      <c r="CB113" s="329"/>
      <c r="CC113" s="329"/>
      <c r="CD113" s="329"/>
      <c r="CE113" s="329"/>
      <c r="CF113" s="329"/>
      <c r="CG113" s="329"/>
      <c r="CH113" s="329"/>
      <c r="CI113" s="329"/>
      <c r="CJ113" s="329"/>
      <c r="CK113" s="329"/>
      <c r="CL113" s="329"/>
      <c r="CM113" s="329"/>
      <c r="CN113" s="329"/>
      <c r="CO113" s="329"/>
      <c r="CP113" s="329"/>
      <c r="CQ113" s="329"/>
      <c r="CR113" s="329"/>
      <c r="CS113" s="329"/>
      <c r="CT113" s="329"/>
      <c r="CU113" s="329"/>
      <c r="CV113" s="329"/>
      <c r="CW113" s="329"/>
      <c r="CX113" s="329"/>
      <c r="CY113" s="329"/>
      <c r="CZ113" s="329"/>
      <c r="DA113" s="329"/>
      <c r="DB113" s="329"/>
      <c r="DC113" s="329"/>
      <c r="DD113" s="329"/>
      <c r="DE113" s="329"/>
      <c r="DF113" s="329"/>
      <c r="DG113" s="329"/>
      <c r="DH113" s="329"/>
      <c r="DI113" s="329"/>
      <c r="DJ113" s="329"/>
      <c r="DK113" s="329"/>
      <c r="DL113" s="329"/>
      <c r="DM113" s="329"/>
      <c r="DN113" s="329"/>
      <c r="DO113" s="329"/>
      <c r="DP113" s="329"/>
      <c r="DQ113" s="329"/>
      <c r="DR113" s="329"/>
      <c r="DS113" s="329"/>
      <c r="DT113" s="329"/>
      <c r="DU113" s="329"/>
      <c r="DV113" s="329"/>
      <c r="DW113" s="329"/>
      <c r="DX113" s="329"/>
      <c r="DY113" s="329"/>
      <c r="DZ113" s="329"/>
      <c r="EA113" s="329"/>
      <c r="EB113" s="329"/>
      <c r="EC113" s="329"/>
      <c r="ED113" s="329"/>
      <c r="EE113" s="329"/>
      <c r="EF113" s="329"/>
      <c r="EG113" s="329"/>
      <c r="EH113" s="329"/>
      <c r="EI113" s="329"/>
      <c r="EJ113" s="329"/>
      <c r="EK113" s="329"/>
      <c r="EL113" s="329"/>
      <c r="EM113" s="329"/>
      <c r="EN113" s="329"/>
      <c r="EO113" s="329"/>
      <c r="EP113" s="329"/>
      <c r="EQ113" s="329"/>
      <c r="ER113" s="329"/>
      <c r="ES113" s="329"/>
      <c r="ET113" s="329"/>
      <c r="EU113" s="329"/>
      <c r="EV113" s="329"/>
      <c r="EW113" s="329"/>
      <c r="EX113" s="329"/>
      <c r="EY113" s="329"/>
      <c r="EZ113" s="329"/>
      <c r="FA113" s="329"/>
      <c r="FB113" s="329"/>
      <c r="FC113" s="329"/>
      <c r="FD113" s="329"/>
      <c r="FE113" s="329"/>
      <c r="FF113" s="329"/>
      <c r="FG113" s="329"/>
      <c r="FH113" s="329"/>
      <c r="FI113" s="329"/>
      <c r="FJ113" s="329"/>
      <c r="FK113" s="329"/>
      <c r="FL113" s="329"/>
      <c r="FM113" s="329"/>
      <c r="FN113" s="329"/>
      <c r="FO113" s="329"/>
      <c r="FP113" s="329"/>
      <c r="FQ113" s="329"/>
      <c r="FR113" s="329"/>
      <c r="FS113" s="329"/>
      <c r="FT113" s="329"/>
      <c r="FU113" s="329"/>
      <c r="FV113" s="329"/>
      <c r="FW113" s="329"/>
      <c r="FX113" s="329"/>
      <c r="FY113" s="329"/>
      <c r="FZ113" s="329"/>
      <c r="GA113" s="329"/>
      <c r="GB113" s="329"/>
      <c r="GC113" s="329"/>
      <c r="GD113" s="329"/>
      <c r="GE113" s="329"/>
      <c r="GF113" s="329"/>
      <c r="GG113" s="329"/>
      <c r="GH113" s="329"/>
      <c r="GI113" s="329"/>
      <c r="GJ113" s="329"/>
      <c r="GK113" s="329"/>
      <c r="GL113" s="329"/>
      <c r="GM113" s="329"/>
      <c r="GN113" s="329"/>
      <c r="GO113" s="329"/>
      <c r="GP113" s="329"/>
      <c r="GQ113" s="329"/>
      <c r="GR113" s="329"/>
      <c r="GS113" s="329"/>
      <c r="GT113" s="329"/>
      <c r="GU113" s="329"/>
      <c r="GV113" s="329"/>
      <c r="GW113" s="329"/>
      <c r="GX113" s="329"/>
      <c r="GY113" s="329"/>
      <c r="GZ113" s="329"/>
      <c r="HA113" s="329"/>
      <c r="HB113" s="329"/>
      <c r="HC113" s="329"/>
      <c r="HD113" s="329"/>
      <c r="HE113" s="329"/>
      <c r="HF113" s="329"/>
      <c r="HG113" s="329"/>
      <c r="HH113" s="329"/>
      <c r="HI113" s="329"/>
      <c r="HJ113" s="329"/>
      <c r="HK113" s="329"/>
      <c r="HL113" s="329"/>
      <c r="HM113" s="329"/>
      <c r="HN113" s="329"/>
      <c r="HO113" s="329"/>
      <c r="HP113" s="329"/>
      <c r="HQ113" s="329"/>
      <c r="HR113" s="329"/>
      <c r="HS113" s="329"/>
      <c r="HT113" s="329"/>
      <c r="HU113" s="329"/>
      <c r="HV113" s="329"/>
      <c r="HW113" s="329"/>
      <c r="HX113" s="329"/>
      <c r="HY113" s="329"/>
      <c r="HZ113" s="329"/>
      <c r="IA113" s="329"/>
      <c r="IB113" s="329"/>
      <c r="IC113" s="329"/>
      <c r="ID113" s="329"/>
      <c r="IE113" s="329"/>
      <c r="IF113" s="329"/>
      <c r="IG113" s="329"/>
      <c r="IH113" s="329"/>
      <c r="II113" s="329"/>
      <c r="IJ113" s="329"/>
      <c r="IK113" s="329"/>
      <c r="IL113" s="329"/>
      <c r="IM113" s="329"/>
      <c r="IN113" s="329"/>
      <c r="IO113" s="329"/>
      <c r="IP113" s="329"/>
      <c r="IQ113" s="329"/>
      <c r="IR113" s="329"/>
      <c r="IS113" s="329"/>
    </row>
    <row r="114" spans="1:253" s="672" customFormat="1" ht="15" customHeight="1">
      <c r="A114" s="667" t="s">
        <v>351</v>
      </c>
      <c r="B114" s="668" t="s">
        <v>545</v>
      </c>
      <c r="C114" s="669" t="s">
        <v>546</v>
      </c>
      <c r="D114" s="670">
        <v>44945181</v>
      </c>
      <c r="E114" s="679">
        <v>7445181</v>
      </c>
      <c r="F114" s="670">
        <f>G114+H114</f>
        <v>6000000</v>
      </c>
      <c r="G114" s="670">
        <v>6000000</v>
      </c>
      <c r="H114" s="670">
        <v>0</v>
      </c>
      <c r="I114" s="668" t="s">
        <v>424</v>
      </c>
    </row>
    <row r="115" spans="1:253" ht="15" customHeight="1">
      <c r="A115" s="324" t="s">
        <v>33</v>
      </c>
      <c r="B115" s="325" t="s">
        <v>34</v>
      </c>
      <c r="C115" s="326" t="s">
        <v>421</v>
      </c>
      <c r="D115" s="327">
        <f>D116+D117</f>
        <v>18244893</v>
      </c>
      <c r="E115" s="327">
        <f>E116+E117</f>
        <v>171276</v>
      </c>
      <c r="F115" s="327">
        <f>F116+F117</f>
        <v>2073617</v>
      </c>
      <c r="G115" s="327">
        <f>G116+G117</f>
        <v>2013765</v>
      </c>
      <c r="H115" s="327">
        <f>H116+H117</f>
        <v>59852</v>
      </c>
      <c r="I115" s="326" t="s">
        <v>421</v>
      </c>
      <c r="J115" s="329"/>
      <c r="K115" s="329"/>
      <c r="L115" s="329"/>
      <c r="M115" s="329"/>
      <c r="N115" s="329"/>
      <c r="O115" s="329"/>
      <c r="P115" s="329"/>
      <c r="Q115" s="329"/>
      <c r="R115" s="329"/>
      <c r="S115" s="329"/>
      <c r="T115" s="329"/>
      <c r="U115" s="329"/>
      <c r="V115" s="329"/>
      <c r="W115" s="329"/>
      <c r="X115" s="329"/>
      <c r="Y115" s="329"/>
      <c r="Z115" s="329"/>
      <c r="AA115" s="329"/>
      <c r="AB115" s="329"/>
      <c r="AC115" s="329"/>
      <c r="AD115" s="329"/>
      <c r="AE115" s="329"/>
      <c r="AF115" s="329"/>
      <c r="AG115" s="329"/>
      <c r="AH115" s="329"/>
      <c r="AI115" s="329"/>
      <c r="AJ115" s="329"/>
      <c r="AK115" s="329"/>
      <c r="AL115" s="329"/>
      <c r="AM115" s="329"/>
      <c r="AN115" s="329"/>
      <c r="AO115" s="329"/>
      <c r="AP115" s="329"/>
      <c r="AQ115" s="329"/>
      <c r="AR115" s="329"/>
      <c r="AS115" s="329"/>
      <c r="AT115" s="329"/>
      <c r="AU115" s="329"/>
      <c r="AV115" s="329"/>
      <c r="AW115" s="329"/>
      <c r="AX115" s="329"/>
      <c r="AY115" s="329"/>
      <c r="AZ115" s="329"/>
      <c r="BA115" s="329"/>
      <c r="BB115" s="329"/>
      <c r="BC115" s="329"/>
      <c r="BD115" s="329"/>
      <c r="BE115" s="329"/>
      <c r="BF115" s="329"/>
      <c r="BG115" s="329"/>
      <c r="BH115" s="329"/>
      <c r="BI115" s="329"/>
      <c r="BJ115" s="329"/>
      <c r="BK115" s="329"/>
      <c r="BL115" s="329"/>
      <c r="BM115" s="329"/>
      <c r="BN115" s="329"/>
      <c r="BO115" s="329"/>
      <c r="BP115" s="329"/>
      <c r="BQ115" s="329"/>
      <c r="BR115" s="329"/>
      <c r="BS115" s="329"/>
      <c r="BT115" s="329"/>
      <c r="BU115" s="329"/>
      <c r="BV115" s="329"/>
      <c r="BW115" s="329"/>
      <c r="BX115" s="329"/>
      <c r="BY115" s="329"/>
      <c r="BZ115" s="329"/>
      <c r="CA115" s="329"/>
      <c r="CB115" s="329"/>
      <c r="CC115" s="329"/>
      <c r="CD115" s="329"/>
      <c r="CE115" s="329"/>
      <c r="CF115" s="329"/>
      <c r="CG115" s="329"/>
      <c r="CH115" s="329"/>
      <c r="CI115" s="329"/>
      <c r="CJ115" s="329"/>
      <c r="CK115" s="329"/>
      <c r="CL115" s="329"/>
      <c r="CM115" s="329"/>
      <c r="CN115" s="329"/>
      <c r="CO115" s="329"/>
      <c r="CP115" s="329"/>
      <c r="CQ115" s="329"/>
      <c r="CR115" s="329"/>
      <c r="CS115" s="329"/>
      <c r="CT115" s="329"/>
      <c r="CU115" s="329"/>
      <c r="CV115" s="329"/>
      <c r="CW115" s="329"/>
      <c r="CX115" s="329"/>
      <c r="CY115" s="329"/>
      <c r="CZ115" s="329"/>
      <c r="DA115" s="329"/>
      <c r="DB115" s="329"/>
      <c r="DC115" s="329"/>
      <c r="DD115" s="329"/>
      <c r="DE115" s="329"/>
      <c r="DF115" s="329"/>
      <c r="DG115" s="329"/>
      <c r="DH115" s="329"/>
      <c r="DI115" s="329"/>
      <c r="DJ115" s="329"/>
      <c r="DK115" s="329"/>
      <c r="DL115" s="329"/>
      <c r="DM115" s="329"/>
      <c r="DN115" s="329"/>
      <c r="DO115" s="329"/>
      <c r="DP115" s="329"/>
      <c r="DQ115" s="329"/>
      <c r="DR115" s="329"/>
      <c r="DS115" s="329"/>
      <c r="DT115" s="329"/>
      <c r="DU115" s="329"/>
      <c r="DV115" s="329"/>
      <c r="DW115" s="329"/>
      <c r="DX115" s="329"/>
      <c r="DY115" s="329"/>
      <c r="DZ115" s="329"/>
      <c r="EA115" s="329"/>
      <c r="EB115" s="329"/>
      <c r="EC115" s="329"/>
      <c r="ED115" s="329"/>
      <c r="EE115" s="329"/>
      <c r="EF115" s="329"/>
      <c r="EG115" s="329"/>
      <c r="EH115" s="329"/>
      <c r="EI115" s="329"/>
      <c r="EJ115" s="329"/>
      <c r="EK115" s="329"/>
      <c r="EL115" s="329"/>
      <c r="EM115" s="329"/>
      <c r="EN115" s="329"/>
      <c r="EO115" s="329"/>
      <c r="EP115" s="329"/>
      <c r="EQ115" s="329"/>
      <c r="ER115" s="329"/>
      <c r="ES115" s="329"/>
      <c r="ET115" s="329"/>
      <c r="EU115" s="329"/>
      <c r="EV115" s="329"/>
      <c r="EW115" s="329"/>
      <c r="EX115" s="329"/>
      <c r="EY115" s="329"/>
      <c r="EZ115" s="329"/>
      <c r="FA115" s="329"/>
      <c r="FB115" s="329"/>
      <c r="FC115" s="329"/>
      <c r="FD115" s="329"/>
      <c r="FE115" s="329"/>
      <c r="FF115" s="329"/>
      <c r="FG115" s="329"/>
      <c r="FH115" s="329"/>
      <c r="FI115" s="329"/>
      <c r="FJ115" s="329"/>
      <c r="FK115" s="329"/>
      <c r="FL115" s="329"/>
      <c r="FM115" s="329"/>
      <c r="FN115" s="329"/>
      <c r="FO115" s="329"/>
      <c r="FP115" s="329"/>
      <c r="FQ115" s="329"/>
      <c r="FR115" s="329"/>
      <c r="FS115" s="329"/>
      <c r="FT115" s="329"/>
      <c r="FU115" s="329"/>
      <c r="FV115" s="329"/>
      <c r="FW115" s="329"/>
      <c r="FX115" s="329"/>
      <c r="FY115" s="329"/>
      <c r="FZ115" s="329"/>
      <c r="GA115" s="329"/>
      <c r="GB115" s="329"/>
      <c r="GC115" s="329"/>
      <c r="GD115" s="329"/>
      <c r="GE115" s="329"/>
      <c r="GF115" s="329"/>
      <c r="GG115" s="329"/>
      <c r="GH115" s="329"/>
      <c r="GI115" s="329"/>
      <c r="GJ115" s="329"/>
      <c r="GK115" s="329"/>
      <c r="GL115" s="329"/>
      <c r="GM115" s="329"/>
      <c r="GN115" s="329"/>
      <c r="GO115" s="329"/>
      <c r="GP115" s="329"/>
      <c r="GQ115" s="329"/>
      <c r="GR115" s="329"/>
      <c r="GS115" s="329"/>
      <c r="GT115" s="329"/>
      <c r="GU115" s="329"/>
      <c r="GV115" s="329"/>
      <c r="GW115" s="329"/>
      <c r="GX115" s="329"/>
      <c r="GY115" s="329"/>
      <c r="GZ115" s="329"/>
      <c r="HA115" s="329"/>
      <c r="HB115" s="329"/>
      <c r="HC115" s="329"/>
      <c r="HD115" s="329"/>
      <c r="HE115" s="329"/>
      <c r="HF115" s="329"/>
      <c r="HG115" s="329"/>
      <c r="HH115" s="329"/>
      <c r="HI115" s="329"/>
      <c r="HJ115" s="329"/>
      <c r="HK115" s="329"/>
      <c r="HL115" s="329"/>
      <c r="HM115" s="329"/>
      <c r="HN115" s="329"/>
      <c r="HO115" s="329"/>
      <c r="HP115" s="329"/>
      <c r="HQ115" s="329"/>
      <c r="HR115" s="329"/>
      <c r="HS115" s="329"/>
      <c r="HT115" s="329"/>
      <c r="HU115" s="329"/>
      <c r="HV115" s="329"/>
      <c r="HW115" s="329"/>
      <c r="HX115" s="329"/>
      <c r="HY115" s="329"/>
      <c r="HZ115" s="329"/>
      <c r="IA115" s="329"/>
      <c r="IB115" s="329"/>
      <c r="IC115" s="329"/>
      <c r="ID115" s="329"/>
      <c r="IE115" s="329"/>
      <c r="IF115" s="329"/>
      <c r="IG115" s="329"/>
      <c r="IH115" s="329"/>
      <c r="II115" s="329"/>
      <c r="IJ115" s="329"/>
      <c r="IK115" s="329"/>
      <c r="IL115" s="329"/>
      <c r="IM115" s="329"/>
      <c r="IN115" s="329"/>
      <c r="IO115" s="329"/>
      <c r="IP115" s="329"/>
      <c r="IQ115" s="329"/>
      <c r="IR115" s="329"/>
      <c r="IS115" s="329"/>
    </row>
    <row r="116" spans="1:253" ht="15" customHeight="1">
      <c r="A116" s="330" t="s">
        <v>381</v>
      </c>
      <c r="B116" s="337" t="s">
        <v>547</v>
      </c>
      <c r="C116" s="332" t="s">
        <v>533</v>
      </c>
      <c r="D116" s="333">
        <v>18091143</v>
      </c>
      <c r="E116" s="341">
        <v>91143</v>
      </c>
      <c r="F116" s="333">
        <f>G116+H116</f>
        <v>2000000</v>
      </c>
      <c r="G116" s="333">
        <v>2000000</v>
      </c>
      <c r="H116" s="333">
        <v>0</v>
      </c>
      <c r="I116" s="331" t="s">
        <v>424</v>
      </c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  <c r="Y116" s="335"/>
      <c r="Z116" s="335"/>
      <c r="AA116" s="335"/>
      <c r="AB116" s="335"/>
      <c r="AC116" s="335"/>
      <c r="AD116" s="335"/>
      <c r="AE116" s="335"/>
      <c r="AF116" s="335"/>
      <c r="AG116" s="335"/>
      <c r="AH116" s="335"/>
      <c r="AI116" s="335"/>
      <c r="AJ116" s="335"/>
      <c r="AK116" s="335"/>
      <c r="AL116" s="335"/>
      <c r="AM116" s="335"/>
      <c r="AN116" s="335"/>
      <c r="AO116" s="335"/>
      <c r="AP116" s="335"/>
      <c r="AQ116" s="335"/>
      <c r="AR116" s="335"/>
      <c r="AS116" s="335"/>
      <c r="AT116" s="335"/>
      <c r="AU116" s="335"/>
      <c r="AV116" s="335"/>
      <c r="AW116" s="335"/>
      <c r="AX116" s="335"/>
      <c r="AY116" s="335"/>
      <c r="AZ116" s="335"/>
      <c r="BA116" s="335"/>
      <c r="BB116" s="335"/>
      <c r="BC116" s="335"/>
      <c r="BD116" s="335"/>
      <c r="BE116" s="335"/>
      <c r="BF116" s="335"/>
      <c r="BG116" s="335"/>
      <c r="BH116" s="335"/>
      <c r="BI116" s="335"/>
      <c r="BJ116" s="335"/>
      <c r="BK116" s="335"/>
      <c r="BL116" s="335"/>
      <c r="BM116" s="335"/>
      <c r="BN116" s="335"/>
      <c r="BO116" s="335"/>
      <c r="BP116" s="335"/>
      <c r="BQ116" s="335"/>
      <c r="BR116" s="335"/>
      <c r="BS116" s="335"/>
      <c r="BT116" s="335"/>
      <c r="BU116" s="335"/>
      <c r="BV116" s="335"/>
      <c r="BW116" s="335"/>
      <c r="BX116" s="335"/>
      <c r="BY116" s="335"/>
      <c r="BZ116" s="335"/>
      <c r="CA116" s="335"/>
      <c r="CB116" s="335"/>
      <c r="CC116" s="335"/>
      <c r="CD116" s="335"/>
      <c r="CE116" s="335"/>
      <c r="CF116" s="335"/>
      <c r="CG116" s="335"/>
      <c r="CH116" s="335"/>
      <c r="CI116" s="335"/>
      <c r="CJ116" s="335"/>
      <c r="CK116" s="335"/>
      <c r="CL116" s="335"/>
      <c r="CM116" s="335"/>
      <c r="CN116" s="335"/>
      <c r="CO116" s="335"/>
      <c r="CP116" s="335"/>
      <c r="CQ116" s="335"/>
      <c r="CR116" s="335"/>
      <c r="CS116" s="335"/>
      <c r="CT116" s="335"/>
      <c r="CU116" s="335"/>
      <c r="CV116" s="335"/>
      <c r="CW116" s="335"/>
      <c r="CX116" s="335"/>
      <c r="CY116" s="335"/>
      <c r="CZ116" s="335"/>
      <c r="DA116" s="335"/>
      <c r="DB116" s="335"/>
      <c r="DC116" s="335"/>
      <c r="DD116" s="335"/>
      <c r="DE116" s="335"/>
      <c r="DF116" s="335"/>
      <c r="DG116" s="335"/>
      <c r="DH116" s="335"/>
      <c r="DI116" s="335"/>
      <c r="DJ116" s="335"/>
      <c r="DK116" s="335"/>
      <c r="DL116" s="335"/>
      <c r="DM116" s="335"/>
      <c r="DN116" s="335"/>
      <c r="DO116" s="335"/>
      <c r="DP116" s="335"/>
      <c r="DQ116" s="335"/>
      <c r="DR116" s="335"/>
      <c r="DS116" s="335"/>
      <c r="DT116" s="335"/>
      <c r="DU116" s="335"/>
      <c r="DV116" s="335"/>
      <c r="DW116" s="335"/>
      <c r="DX116" s="335"/>
      <c r="DY116" s="335"/>
      <c r="DZ116" s="335"/>
      <c r="EA116" s="335"/>
      <c r="EB116" s="335"/>
      <c r="EC116" s="335"/>
      <c r="ED116" s="335"/>
      <c r="EE116" s="335"/>
      <c r="EF116" s="335"/>
      <c r="EG116" s="335"/>
      <c r="EH116" s="335"/>
      <c r="EI116" s="335"/>
      <c r="EJ116" s="335"/>
      <c r="EK116" s="335"/>
      <c r="EL116" s="335"/>
      <c r="EM116" s="335"/>
      <c r="EN116" s="335"/>
      <c r="EO116" s="335"/>
      <c r="EP116" s="335"/>
      <c r="EQ116" s="335"/>
      <c r="ER116" s="335"/>
      <c r="ES116" s="335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35"/>
      <c r="FE116" s="335"/>
      <c r="FF116" s="335"/>
      <c r="FG116" s="335"/>
      <c r="FH116" s="335"/>
      <c r="FI116" s="335"/>
      <c r="FJ116" s="335"/>
      <c r="FK116" s="335"/>
      <c r="FL116" s="335"/>
      <c r="FM116" s="335"/>
      <c r="FN116" s="335"/>
      <c r="FO116" s="335"/>
      <c r="FP116" s="335"/>
      <c r="FQ116" s="335"/>
      <c r="FR116" s="335"/>
      <c r="FS116" s="335"/>
      <c r="FT116" s="335"/>
      <c r="FU116" s="335"/>
      <c r="FV116" s="335"/>
      <c r="FW116" s="335"/>
      <c r="FX116" s="335"/>
      <c r="FY116" s="335"/>
      <c r="FZ116" s="335"/>
      <c r="GA116" s="335"/>
      <c r="GB116" s="335"/>
      <c r="GC116" s="335"/>
      <c r="GD116" s="335"/>
      <c r="GE116" s="335"/>
      <c r="GF116" s="335"/>
      <c r="GG116" s="335"/>
      <c r="GH116" s="335"/>
      <c r="GI116" s="335"/>
      <c r="GJ116" s="335"/>
      <c r="GK116" s="335"/>
      <c r="GL116" s="335"/>
      <c r="GM116" s="335"/>
      <c r="GN116" s="335"/>
      <c r="GO116" s="335"/>
      <c r="GP116" s="335"/>
      <c r="GQ116" s="335"/>
      <c r="GR116" s="335"/>
      <c r="GS116" s="335"/>
      <c r="GT116" s="335"/>
      <c r="GU116" s="335"/>
      <c r="GV116" s="335"/>
      <c r="GW116" s="335"/>
      <c r="GX116" s="335"/>
      <c r="GY116" s="335"/>
      <c r="GZ116" s="335"/>
      <c r="HA116" s="335"/>
      <c r="HB116" s="335"/>
      <c r="HC116" s="335"/>
      <c r="HD116" s="335"/>
      <c r="HE116" s="335"/>
      <c r="HF116" s="335"/>
      <c r="HG116" s="335"/>
      <c r="HH116" s="335"/>
      <c r="HI116" s="335"/>
      <c r="HJ116" s="335"/>
      <c r="HK116" s="335"/>
      <c r="HL116" s="335"/>
      <c r="HM116" s="335"/>
      <c r="HN116" s="335"/>
      <c r="HO116" s="335"/>
      <c r="HP116" s="335"/>
      <c r="HQ116" s="335"/>
      <c r="HR116" s="335"/>
      <c r="HS116" s="335"/>
      <c r="HT116" s="335"/>
      <c r="HU116" s="335"/>
      <c r="HV116" s="335"/>
      <c r="HW116" s="335"/>
      <c r="HX116" s="335"/>
      <c r="HY116" s="335"/>
      <c r="HZ116" s="335"/>
      <c r="IA116" s="335"/>
      <c r="IB116" s="335"/>
      <c r="IC116" s="335"/>
      <c r="ID116" s="335"/>
      <c r="IE116" s="335"/>
      <c r="IF116" s="335"/>
      <c r="IG116" s="335"/>
      <c r="IH116" s="335"/>
      <c r="II116" s="335"/>
      <c r="IJ116" s="335"/>
      <c r="IK116" s="335"/>
      <c r="IL116" s="335"/>
      <c r="IM116" s="335"/>
      <c r="IN116" s="335"/>
      <c r="IO116" s="335"/>
      <c r="IP116" s="335"/>
      <c r="IQ116" s="335"/>
      <c r="IR116" s="335"/>
      <c r="IS116" s="335"/>
    </row>
    <row r="117" spans="1:253" s="672" customFormat="1" ht="54.95" customHeight="1">
      <c r="A117" s="667" t="s">
        <v>385</v>
      </c>
      <c r="B117" s="680" t="s">
        <v>548</v>
      </c>
      <c r="C117" s="669" t="s">
        <v>513</v>
      </c>
      <c r="D117" s="670">
        <v>153750</v>
      </c>
      <c r="E117" s="679">
        <v>80133</v>
      </c>
      <c r="F117" s="670">
        <f>G117+H117</f>
        <v>73617</v>
      </c>
      <c r="G117" s="670">
        <v>13765</v>
      </c>
      <c r="H117" s="670">
        <v>59852</v>
      </c>
      <c r="I117" s="668" t="s">
        <v>424</v>
      </c>
    </row>
    <row r="118" spans="1:253" ht="15" customHeight="1">
      <c r="A118" s="324" t="s">
        <v>35</v>
      </c>
      <c r="B118" s="325" t="s">
        <v>36</v>
      </c>
      <c r="C118" s="326" t="s">
        <v>421</v>
      </c>
      <c r="D118" s="327">
        <f>D119+D120+D121</f>
        <v>27129834</v>
      </c>
      <c r="E118" s="327">
        <f>E119+E120+E121</f>
        <v>7794756</v>
      </c>
      <c r="F118" s="327">
        <f>F119+F120+F121</f>
        <v>18695078</v>
      </c>
      <c r="G118" s="327">
        <f>G119+G120+G121</f>
        <v>18695078</v>
      </c>
      <c r="H118" s="327">
        <f>H119+H120+H121</f>
        <v>0</v>
      </c>
      <c r="I118" s="326" t="s">
        <v>421</v>
      </c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29"/>
      <c r="X118" s="329"/>
      <c r="Y118" s="329"/>
      <c r="Z118" s="329"/>
      <c r="AA118" s="329"/>
      <c r="AB118" s="329"/>
      <c r="AC118" s="329"/>
      <c r="AD118" s="329"/>
      <c r="AE118" s="329"/>
      <c r="AF118" s="329"/>
      <c r="AG118" s="329"/>
      <c r="AH118" s="329"/>
      <c r="AI118" s="329"/>
      <c r="AJ118" s="329"/>
      <c r="AK118" s="329"/>
      <c r="AL118" s="329"/>
      <c r="AM118" s="329"/>
      <c r="AN118" s="329"/>
      <c r="AO118" s="329"/>
      <c r="AP118" s="329"/>
      <c r="AQ118" s="329"/>
      <c r="AR118" s="329"/>
      <c r="AS118" s="329"/>
      <c r="AT118" s="329"/>
      <c r="AU118" s="329"/>
      <c r="AV118" s="329"/>
      <c r="AW118" s="329"/>
      <c r="AX118" s="329"/>
      <c r="AY118" s="329"/>
      <c r="AZ118" s="329"/>
      <c r="BA118" s="329"/>
      <c r="BB118" s="329"/>
      <c r="BC118" s="329"/>
      <c r="BD118" s="329"/>
      <c r="BE118" s="329"/>
      <c r="BF118" s="329"/>
      <c r="BG118" s="329"/>
      <c r="BH118" s="329"/>
      <c r="BI118" s="329"/>
      <c r="BJ118" s="329"/>
      <c r="BK118" s="329"/>
      <c r="BL118" s="329"/>
      <c r="BM118" s="329"/>
      <c r="BN118" s="329"/>
      <c r="BO118" s="329"/>
      <c r="BP118" s="329"/>
      <c r="BQ118" s="329"/>
      <c r="BR118" s="329"/>
      <c r="BS118" s="329"/>
      <c r="BT118" s="329"/>
      <c r="BU118" s="329"/>
      <c r="BV118" s="329"/>
      <c r="BW118" s="329"/>
      <c r="BX118" s="329"/>
      <c r="BY118" s="329"/>
      <c r="BZ118" s="329"/>
      <c r="CA118" s="329"/>
      <c r="CB118" s="329"/>
      <c r="CC118" s="329"/>
      <c r="CD118" s="329"/>
      <c r="CE118" s="329"/>
      <c r="CF118" s="329"/>
      <c r="CG118" s="329"/>
      <c r="CH118" s="329"/>
      <c r="CI118" s="329"/>
      <c r="CJ118" s="329"/>
      <c r="CK118" s="329"/>
      <c r="CL118" s="329"/>
      <c r="CM118" s="329"/>
      <c r="CN118" s="329"/>
      <c r="CO118" s="329"/>
      <c r="CP118" s="329"/>
      <c r="CQ118" s="329"/>
      <c r="CR118" s="329"/>
      <c r="CS118" s="329"/>
      <c r="CT118" s="329"/>
      <c r="CU118" s="329"/>
      <c r="CV118" s="329"/>
      <c r="CW118" s="329"/>
      <c r="CX118" s="329"/>
      <c r="CY118" s="329"/>
      <c r="CZ118" s="329"/>
      <c r="DA118" s="329"/>
      <c r="DB118" s="329"/>
      <c r="DC118" s="329"/>
      <c r="DD118" s="329"/>
      <c r="DE118" s="329"/>
      <c r="DF118" s="329"/>
      <c r="DG118" s="329"/>
      <c r="DH118" s="329"/>
      <c r="DI118" s="329"/>
      <c r="DJ118" s="329"/>
      <c r="DK118" s="329"/>
      <c r="DL118" s="329"/>
      <c r="DM118" s="329"/>
      <c r="DN118" s="329"/>
      <c r="DO118" s="329"/>
      <c r="DP118" s="329"/>
      <c r="DQ118" s="329"/>
      <c r="DR118" s="329"/>
      <c r="DS118" s="329"/>
      <c r="DT118" s="329"/>
      <c r="DU118" s="329"/>
      <c r="DV118" s="329"/>
      <c r="DW118" s="329"/>
      <c r="DX118" s="329"/>
      <c r="DY118" s="329"/>
      <c r="DZ118" s="329"/>
      <c r="EA118" s="329"/>
      <c r="EB118" s="329"/>
      <c r="EC118" s="329"/>
      <c r="ED118" s="329"/>
      <c r="EE118" s="329"/>
      <c r="EF118" s="329"/>
      <c r="EG118" s="329"/>
      <c r="EH118" s="329"/>
      <c r="EI118" s="329"/>
      <c r="EJ118" s="329"/>
      <c r="EK118" s="329"/>
      <c r="EL118" s="329"/>
      <c r="EM118" s="329"/>
      <c r="EN118" s="329"/>
      <c r="EO118" s="329"/>
      <c r="EP118" s="329"/>
      <c r="EQ118" s="329"/>
      <c r="ER118" s="329"/>
      <c r="ES118" s="329"/>
      <c r="ET118" s="329"/>
      <c r="EU118" s="329"/>
      <c r="EV118" s="329"/>
      <c r="EW118" s="329"/>
      <c r="EX118" s="329"/>
      <c r="EY118" s="329"/>
      <c r="EZ118" s="329"/>
      <c r="FA118" s="329"/>
      <c r="FB118" s="329"/>
      <c r="FC118" s="329"/>
      <c r="FD118" s="329"/>
      <c r="FE118" s="329"/>
      <c r="FF118" s="329"/>
      <c r="FG118" s="329"/>
      <c r="FH118" s="329"/>
      <c r="FI118" s="329"/>
      <c r="FJ118" s="329"/>
      <c r="FK118" s="329"/>
      <c r="FL118" s="329"/>
      <c r="FM118" s="329"/>
      <c r="FN118" s="329"/>
      <c r="FO118" s="329"/>
      <c r="FP118" s="329"/>
      <c r="FQ118" s="329"/>
      <c r="FR118" s="329"/>
      <c r="FS118" s="329"/>
      <c r="FT118" s="329"/>
      <c r="FU118" s="329"/>
      <c r="FV118" s="329"/>
      <c r="FW118" s="329"/>
      <c r="FX118" s="329"/>
      <c r="FY118" s="329"/>
      <c r="FZ118" s="329"/>
      <c r="GA118" s="329"/>
      <c r="GB118" s="329"/>
      <c r="GC118" s="329"/>
      <c r="GD118" s="329"/>
      <c r="GE118" s="329"/>
      <c r="GF118" s="329"/>
      <c r="GG118" s="329"/>
      <c r="GH118" s="329"/>
      <c r="GI118" s="329"/>
      <c r="GJ118" s="329"/>
      <c r="GK118" s="329"/>
      <c r="GL118" s="329"/>
      <c r="GM118" s="329"/>
      <c r="GN118" s="329"/>
      <c r="GO118" s="329"/>
      <c r="GP118" s="329"/>
      <c r="GQ118" s="329"/>
      <c r="GR118" s="329"/>
      <c r="GS118" s="329"/>
      <c r="GT118" s="329"/>
      <c r="GU118" s="329"/>
      <c r="GV118" s="329"/>
      <c r="GW118" s="329"/>
      <c r="GX118" s="329"/>
      <c r="GY118" s="329"/>
      <c r="GZ118" s="329"/>
      <c r="HA118" s="329"/>
      <c r="HB118" s="329"/>
      <c r="HC118" s="329"/>
      <c r="HD118" s="329"/>
      <c r="HE118" s="329"/>
      <c r="HF118" s="329"/>
      <c r="HG118" s="329"/>
      <c r="HH118" s="329"/>
      <c r="HI118" s="329"/>
      <c r="HJ118" s="329"/>
      <c r="HK118" s="329"/>
      <c r="HL118" s="329"/>
      <c r="HM118" s="329"/>
      <c r="HN118" s="329"/>
      <c r="HO118" s="329"/>
      <c r="HP118" s="329"/>
      <c r="HQ118" s="329"/>
      <c r="HR118" s="329"/>
      <c r="HS118" s="329"/>
      <c r="HT118" s="329"/>
      <c r="HU118" s="329"/>
      <c r="HV118" s="329"/>
      <c r="HW118" s="329"/>
      <c r="HX118" s="329"/>
      <c r="HY118" s="329"/>
      <c r="HZ118" s="329"/>
      <c r="IA118" s="329"/>
      <c r="IB118" s="329"/>
      <c r="IC118" s="329"/>
      <c r="ID118" s="329"/>
      <c r="IE118" s="329"/>
      <c r="IF118" s="329"/>
      <c r="IG118" s="329"/>
      <c r="IH118" s="329"/>
      <c r="II118" s="329"/>
      <c r="IJ118" s="329"/>
      <c r="IK118" s="329"/>
      <c r="IL118" s="329"/>
      <c r="IM118" s="329"/>
      <c r="IN118" s="329"/>
      <c r="IO118" s="329"/>
      <c r="IP118" s="329"/>
      <c r="IQ118" s="329"/>
      <c r="IR118" s="329"/>
      <c r="IS118" s="329"/>
    </row>
    <row r="119" spans="1:253" s="672" customFormat="1" ht="29.1" customHeight="1">
      <c r="A119" s="667" t="s">
        <v>443</v>
      </c>
      <c r="B119" s="680" t="s">
        <v>549</v>
      </c>
      <c r="C119" s="669" t="s">
        <v>509</v>
      </c>
      <c r="D119" s="670">
        <v>16151263</v>
      </c>
      <c r="E119" s="679">
        <f>500000+1900000</f>
        <v>2400000</v>
      </c>
      <c r="F119" s="670">
        <f>G119+H119</f>
        <v>13751263</v>
      </c>
      <c r="G119" s="670">
        <v>13751263</v>
      </c>
      <c r="H119" s="670">
        <v>0</v>
      </c>
      <c r="I119" s="668" t="s">
        <v>550</v>
      </c>
    </row>
    <row r="120" spans="1:253" s="672" customFormat="1" ht="29.1" customHeight="1">
      <c r="A120" s="667" t="s">
        <v>443</v>
      </c>
      <c r="B120" s="680" t="s">
        <v>551</v>
      </c>
      <c r="C120" s="669" t="s">
        <v>511</v>
      </c>
      <c r="D120" s="670">
        <v>10138571</v>
      </c>
      <c r="E120" s="679">
        <v>5394756</v>
      </c>
      <c r="F120" s="670">
        <f>G120+H120</f>
        <v>4743815</v>
      </c>
      <c r="G120" s="670">
        <v>4743815</v>
      </c>
      <c r="H120" s="670">
        <v>0</v>
      </c>
      <c r="I120" s="668" t="s">
        <v>424</v>
      </c>
    </row>
    <row r="121" spans="1:253" s="672" customFormat="1" ht="29.1" customHeight="1">
      <c r="A121" s="667" t="s">
        <v>448</v>
      </c>
      <c r="B121" s="680" t="s">
        <v>288</v>
      </c>
      <c r="C121" s="669" t="s">
        <v>552</v>
      </c>
      <c r="D121" s="670">
        <v>840000</v>
      </c>
      <c r="E121" s="679">
        <v>0</v>
      </c>
      <c r="F121" s="670">
        <f>G121+H121</f>
        <v>200000</v>
      </c>
      <c r="G121" s="670">
        <v>200000</v>
      </c>
      <c r="H121" s="670">
        <v>0</v>
      </c>
      <c r="I121" s="668" t="s">
        <v>450</v>
      </c>
    </row>
    <row r="122" spans="1:253" ht="15" customHeight="1">
      <c r="A122" s="324" t="s">
        <v>7</v>
      </c>
      <c r="B122" s="325" t="s">
        <v>8</v>
      </c>
      <c r="C122" s="326" t="s">
        <v>421</v>
      </c>
      <c r="D122" s="327">
        <f>D123</f>
        <v>2054243</v>
      </c>
      <c r="E122" s="327">
        <f>E123</f>
        <v>54243</v>
      </c>
      <c r="F122" s="327">
        <f>F123</f>
        <v>2000000</v>
      </c>
      <c r="G122" s="327">
        <f>G123</f>
        <v>2000000</v>
      </c>
      <c r="H122" s="327">
        <f>H123</f>
        <v>0</v>
      </c>
      <c r="I122" s="326" t="s">
        <v>421</v>
      </c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329"/>
      <c r="W122" s="329"/>
      <c r="X122" s="329"/>
      <c r="Y122" s="329"/>
      <c r="Z122" s="329"/>
      <c r="AA122" s="329"/>
      <c r="AB122" s="329"/>
      <c r="AC122" s="329"/>
      <c r="AD122" s="329"/>
      <c r="AE122" s="329"/>
      <c r="AF122" s="329"/>
      <c r="AG122" s="329"/>
      <c r="AH122" s="329"/>
      <c r="AI122" s="329"/>
      <c r="AJ122" s="329"/>
      <c r="AK122" s="329"/>
      <c r="AL122" s="329"/>
      <c r="AM122" s="329"/>
      <c r="AN122" s="329"/>
      <c r="AO122" s="329"/>
      <c r="AP122" s="329"/>
      <c r="AQ122" s="329"/>
      <c r="AR122" s="329"/>
      <c r="AS122" s="329"/>
      <c r="AT122" s="329"/>
      <c r="AU122" s="329"/>
      <c r="AV122" s="329"/>
      <c r="AW122" s="329"/>
      <c r="AX122" s="329"/>
      <c r="AY122" s="329"/>
      <c r="AZ122" s="329"/>
      <c r="BA122" s="329"/>
      <c r="BB122" s="329"/>
      <c r="BC122" s="329"/>
      <c r="BD122" s="329"/>
      <c r="BE122" s="329"/>
      <c r="BF122" s="329"/>
      <c r="BG122" s="329"/>
      <c r="BH122" s="329"/>
      <c r="BI122" s="329"/>
      <c r="BJ122" s="329"/>
      <c r="BK122" s="329"/>
      <c r="BL122" s="329"/>
      <c r="BM122" s="329"/>
      <c r="BN122" s="329"/>
      <c r="BO122" s="329"/>
      <c r="BP122" s="329"/>
      <c r="BQ122" s="329"/>
      <c r="BR122" s="329"/>
      <c r="BS122" s="329"/>
      <c r="BT122" s="329"/>
      <c r="BU122" s="329"/>
      <c r="BV122" s="329"/>
      <c r="BW122" s="329"/>
      <c r="BX122" s="329"/>
      <c r="BY122" s="329"/>
      <c r="BZ122" s="329"/>
      <c r="CA122" s="329"/>
      <c r="CB122" s="329"/>
      <c r="CC122" s="329"/>
      <c r="CD122" s="329"/>
      <c r="CE122" s="329"/>
      <c r="CF122" s="329"/>
      <c r="CG122" s="329"/>
      <c r="CH122" s="329"/>
      <c r="CI122" s="329"/>
      <c r="CJ122" s="329"/>
      <c r="CK122" s="329"/>
      <c r="CL122" s="329"/>
      <c r="CM122" s="329"/>
      <c r="CN122" s="329"/>
      <c r="CO122" s="329"/>
      <c r="CP122" s="329"/>
      <c r="CQ122" s="329"/>
      <c r="CR122" s="329"/>
      <c r="CS122" s="329"/>
      <c r="CT122" s="329"/>
      <c r="CU122" s="329"/>
      <c r="CV122" s="329"/>
      <c r="CW122" s="329"/>
      <c r="CX122" s="329"/>
      <c r="CY122" s="329"/>
      <c r="CZ122" s="329"/>
      <c r="DA122" s="329"/>
      <c r="DB122" s="329"/>
      <c r="DC122" s="329"/>
      <c r="DD122" s="329"/>
      <c r="DE122" s="329"/>
      <c r="DF122" s="329"/>
      <c r="DG122" s="329"/>
      <c r="DH122" s="329"/>
      <c r="DI122" s="329"/>
      <c r="DJ122" s="329"/>
      <c r="DK122" s="329"/>
      <c r="DL122" s="329"/>
      <c r="DM122" s="329"/>
      <c r="DN122" s="329"/>
      <c r="DO122" s="329"/>
      <c r="DP122" s="329"/>
      <c r="DQ122" s="329"/>
      <c r="DR122" s="329"/>
      <c r="DS122" s="329"/>
      <c r="DT122" s="329"/>
      <c r="DU122" s="329"/>
      <c r="DV122" s="329"/>
      <c r="DW122" s="329"/>
      <c r="DX122" s="329"/>
      <c r="DY122" s="329"/>
      <c r="DZ122" s="329"/>
      <c r="EA122" s="329"/>
      <c r="EB122" s="329"/>
      <c r="EC122" s="329"/>
      <c r="ED122" s="329"/>
      <c r="EE122" s="329"/>
      <c r="EF122" s="329"/>
      <c r="EG122" s="329"/>
      <c r="EH122" s="329"/>
      <c r="EI122" s="329"/>
      <c r="EJ122" s="329"/>
      <c r="EK122" s="329"/>
      <c r="EL122" s="329"/>
      <c r="EM122" s="329"/>
      <c r="EN122" s="329"/>
      <c r="EO122" s="329"/>
      <c r="EP122" s="329"/>
      <c r="EQ122" s="329"/>
      <c r="ER122" s="329"/>
      <c r="ES122" s="329"/>
      <c r="ET122" s="329"/>
      <c r="EU122" s="329"/>
      <c r="EV122" s="329"/>
      <c r="EW122" s="329"/>
      <c r="EX122" s="329"/>
      <c r="EY122" s="329"/>
      <c r="EZ122" s="329"/>
      <c r="FA122" s="329"/>
      <c r="FB122" s="329"/>
      <c r="FC122" s="329"/>
      <c r="FD122" s="329"/>
      <c r="FE122" s="329"/>
      <c r="FF122" s="329"/>
      <c r="FG122" s="329"/>
      <c r="FH122" s="329"/>
      <c r="FI122" s="329"/>
      <c r="FJ122" s="329"/>
      <c r="FK122" s="329"/>
      <c r="FL122" s="329"/>
      <c r="FM122" s="329"/>
      <c r="FN122" s="329"/>
      <c r="FO122" s="329"/>
      <c r="FP122" s="329"/>
      <c r="FQ122" s="329"/>
      <c r="FR122" s="329"/>
      <c r="FS122" s="329"/>
      <c r="FT122" s="329"/>
      <c r="FU122" s="329"/>
      <c r="FV122" s="329"/>
      <c r="FW122" s="329"/>
      <c r="FX122" s="329"/>
      <c r="FY122" s="329"/>
      <c r="FZ122" s="329"/>
      <c r="GA122" s="329"/>
      <c r="GB122" s="329"/>
      <c r="GC122" s="329"/>
      <c r="GD122" s="329"/>
      <c r="GE122" s="329"/>
      <c r="GF122" s="329"/>
      <c r="GG122" s="329"/>
      <c r="GH122" s="329"/>
      <c r="GI122" s="329"/>
      <c r="GJ122" s="329"/>
      <c r="GK122" s="329"/>
      <c r="GL122" s="329"/>
      <c r="GM122" s="329"/>
      <c r="GN122" s="329"/>
      <c r="GO122" s="329"/>
      <c r="GP122" s="329"/>
      <c r="GQ122" s="329"/>
      <c r="GR122" s="329"/>
      <c r="GS122" s="329"/>
      <c r="GT122" s="329"/>
      <c r="GU122" s="329"/>
      <c r="GV122" s="329"/>
      <c r="GW122" s="329"/>
      <c r="GX122" s="329"/>
      <c r="GY122" s="329"/>
      <c r="GZ122" s="329"/>
      <c r="HA122" s="329"/>
      <c r="HB122" s="329"/>
      <c r="HC122" s="329"/>
      <c r="HD122" s="329"/>
      <c r="HE122" s="329"/>
      <c r="HF122" s="329"/>
      <c r="HG122" s="329"/>
      <c r="HH122" s="329"/>
      <c r="HI122" s="329"/>
      <c r="HJ122" s="329"/>
      <c r="HK122" s="329"/>
      <c r="HL122" s="329"/>
      <c r="HM122" s="329"/>
      <c r="HN122" s="329"/>
      <c r="HO122" s="329"/>
      <c r="HP122" s="329"/>
      <c r="HQ122" s="329"/>
      <c r="HR122" s="329"/>
      <c r="HS122" s="329"/>
      <c r="HT122" s="329"/>
      <c r="HU122" s="329"/>
      <c r="HV122" s="329"/>
      <c r="HW122" s="329"/>
      <c r="HX122" s="329"/>
      <c r="HY122" s="329"/>
      <c r="HZ122" s="329"/>
      <c r="IA122" s="329"/>
      <c r="IB122" s="329"/>
      <c r="IC122" s="329"/>
      <c r="ID122" s="329"/>
      <c r="IE122" s="329"/>
      <c r="IF122" s="329"/>
      <c r="IG122" s="329"/>
      <c r="IH122" s="329"/>
      <c r="II122" s="329"/>
      <c r="IJ122" s="329"/>
      <c r="IK122" s="329"/>
      <c r="IL122" s="329"/>
      <c r="IM122" s="329"/>
      <c r="IN122" s="329"/>
      <c r="IO122" s="329"/>
      <c r="IP122" s="329"/>
      <c r="IQ122" s="329"/>
      <c r="IR122" s="329"/>
      <c r="IS122" s="329"/>
    </row>
    <row r="123" spans="1:253" s="672" customFormat="1" ht="29.1" customHeight="1">
      <c r="A123" s="667" t="s">
        <v>458</v>
      </c>
      <c r="B123" s="680" t="s">
        <v>553</v>
      </c>
      <c r="C123" s="669" t="s">
        <v>509</v>
      </c>
      <c r="D123" s="670">
        <v>2054243</v>
      </c>
      <c r="E123" s="679">
        <v>54243</v>
      </c>
      <c r="F123" s="670">
        <f>G123+H123</f>
        <v>2000000</v>
      </c>
      <c r="G123" s="670">
        <v>2000000</v>
      </c>
      <c r="H123" s="670">
        <v>0</v>
      </c>
      <c r="I123" s="668" t="s">
        <v>424</v>
      </c>
    </row>
    <row r="124" spans="1:253" ht="15" customHeight="1">
      <c r="A124" s="324" t="s">
        <v>40</v>
      </c>
      <c r="B124" s="336" t="s">
        <v>41</v>
      </c>
      <c r="C124" s="326" t="s">
        <v>421</v>
      </c>
      <c r="D124" s="327">
        <f>D125+D126+D127+D128+D129+D130+D131+D132+D133+D134+D135+D136</f>
        <v>284837073</v>
      </c>
      <c r="E124" s="327">
        <f>E125+E126+E127+E128+E129+E130+E131+E132+E133+E134+E135+E136</f>
        <v>29089297</v>
      </c>
      <c r="F124" s="327">
        <f>F125+F126+F127+F128+F129+F130+F131+F132+F133+F134+F135+F136</f>
        <v>106775469</v>
      </c>
      <c r="G124" s="327">
        <f>G125+G126+G127+G128+G129+G130+G131+G132+G133+G134+G135+G136</f>
        <v>78898266</v>
      </c>
      <c r="H124" s="327">
        <f>H125+H126+H127+H128+H129+H130+H131+H132+H133+H134+H135+H136</f>
        <v>27877203</v>
      </c>
      <c r="I124" s="326" t="s">
        <v>421</v>
      </c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29"/>
      <c r="U124" s="329"/>
      <c r="V124" s="329"/>
      <c r="W124" s="329"/>
      <c r="X124" s="329"/>
      <c r="Y124" s="329"/>
      <c r="Z124" s="329"/>
      <c r="AA124" s="329"/>
      <c r="AB124" s="329"/>
      <c r="AC124" s="329"/>
      <c r="AD124" s="329"/>
      <c r="AE124" s="329"/>
      <c r="AF124" s="329"/>
      <c r="AG124" s="329"/>
      <c r="AH124" s="329"/>
      <c r="AI124" s="329"/>
      <c r="AJ124" s="329"/>
      <c r="AK124" s="329"/>
      <c r="AL124" s="329"/>
      <c r="AM124" s="329"/>
      <c r="AN124" s="329"/>
      <c r="AO124" s="329"/>
      <c r="AP124" s="329"/>
      <c r="AQ124" s="329"/>
      <c r="AR124" s="329"/>
      <c r="AS124" s="329"/>
      <c r="AT124" s="329"/>
      <c r="AU124" s="329"/>
      <c r="AV124" s="329"/>
      <c r="AW124" s="329"/>
      <c r="AX124" s="329"/>
      <c r="AY124" s="329"/>
      <c r="AZ124" s="329"/>
      <c r="BA124" s="329"/>
      <c r="BB124" s="329"/>
      <c r="BC124" s="329"/>
      <c r="BD124" s="329"/>
      <c r="BE124" s="329"/>
      <c r="BF124" s="329"/>
      <c r="BG124" s="329"/>
      <c r="BH124" s="329"/>
      <c r="BI124" s="329"/>
      <c r="BJ124" s="329"/>
      <c r="BK124" s="329"/>
      <c r="BL124" s="329"/>
      <c r="BM124" s="329"/>
      <c r="BN124" s="329"/>
      <c r="BO124" s="329"/>
      <c r="BP124" s="329"/>
      <c r="BQ124" s="329"/>
      <c r="BR124" s="329"/>
      <c r="BS124" s="329"/>
      <c r="BT124" s="329"/>
      <c r="BU124" s="329"/>
      <c r="BV124" s="329"/>
      <c r="BW124" s="329"/>
      <c r="BX124" s="329"/>
      <c r="BY124" s="329"/>
      <c r="BZ124" s="329"/>
      <c r="CA124" s="329"/>
      <c r="CB124" s="329"/>
      <c r="CC124" s="329"/>
      <c r="CD124" s="329"/>
      <c r="CE124" s="329"/>
      <c r="CF124" s="329"/>
      <c r="CG124" s="329"/>
      <c r="CH124" s="329"/>
      <c r="CI124" s="329"/>
      <c r="CJ124" s="329"/>
      <c r="CK124" s="329"/>
      <c r="CL124" s="329"/>
      <c r="CM124" s="329"/>
      <c r="CN124" s="329"/>
      <c r="CO124" s="329"/>
      <c r="CP124" s="329"/>
      <c r="CQ124" s="329"/>
      <c r="CR124" s="329"/>
      <c r="CS124" s="329"/>
      <c r="CT124" s="329"/>
      <c r="CU124" s="329"/>
      <c r="CV124" s="329"/>
      <c r="CW124" s="329"/>
      <c r="CX124" s="329"/>
      <c r="CY124" s="329"/>
      <c r="CZ124" s="329"/>
      <c r="DA124" s="329"/>
      <c r="DB124" s="329"/>
      <c r="DC124" s="329"/>
      <c r="DD124" s="329"/>
      <c r="DE124" s="329"/>
      <c r="DF124" s="329"/>
      <c r="DG124" s="329"/>
      <c r="DH124" s="329"/>
      <c r="DI124" s="329"/>
      <c r="DJ124" s="329"/>
      <c r="DK124" s="329"/>
      <c r="DL124" s="329"/>
      <c r="DM124" s="329"/>
      <c r="DN124" s="329"/>
      <c r="DO124" s="329"/>
      <c r="DP124" s="329"/>
      <c r="DQ124" s="329"/>
      <c r="DR124" s="329"/>
      <c r="DS124" s="329"/>
      <c r="DT124" s="329"/>
      <c r="DU124" s="329"/>
      <c r="DV124" s="329"/>
      <c r="DW124" s="329"/>
      <c r="DX124" s="329"/>
      <c r="DY124" s="329"/>
      <c r="DZ124" s="329"/>
      <c r="EA124" s="329"/>
      <c r="EB124" s="329"/>
      <c r="EC124" s="329"/>
      <c r="ED124" s="329"/>
      <c r="EE124" s="329"/>
      <c r="EF124" s="329"/>
      <c r="EG124" s="329"/>
      <c r="EH124" s="329"/>
      <c r="EI124" s="329"/>
      <c r="EJ124" s="329"/>
      <c r="EK124" s="329"/>
      <c r="EL124" s="329"/>
      <c r="EM124" s="329"/>
      <c r="EN124" s="329"/>
      <c r="EO124" s="329"/>
      <c r="EP124" s="329"/>
      <c r="EQ124" s="329"/>
      <c r="ER124" s="329"/>
      <c r="ES124" s="329"/>
      <c r="ET124" s="329"/>
      <c r="EU124" s="329"/>
      <c r="EV124" s="329"/>
      <c r="EW124" s="329"/>
      <c r="EX124" s="329"/>
      <c r="EY124" s="329"/>
      <c r="EZ124" s="329"/>
      <c r="FA124" s="329"/>
      <c r="FB124" s="329"/>
      <c r="FC124" s="329"/>
      <c r="FD124" s="329"/>
      <c r="FE124" s="329"/>
      <c r="FF124" s="329"/>
      <c r="FG124" s="329"/>
      <c r="FH124" s="329"/>
      <c r="FI124" s="329"/>
      <c r="FJ124" s="329"/>
      <c r="FK124" s="329"/>
      <c r="FL124" s="329"/>
      <c r="FM124" s="329"/>
      <c r="FN124" s="329"/>
      <c r="FO124" s="329"/>
      <c r="FP124" s="329"/>
      <c r="FQ124" s="329"/>
      <c r="FR124" s="329"/>
      <c r="FS124" s="329"/>
      <c r="FT124" s="329"/>
      <c r="FU124" s="329"/>
      <c r="FV124" s="329"/>
      <c r="FW124" s="329"/>
      <c r="FX124" s="329"/>
      <c r="FY124" s="329"/>
      <c r="FZ124" s="329"/>
      <c r="GA124" s="329"/>
      <c r="GB124" s="329"/>
      <c r="GC124" s="329"/>
      <c r="GD124" s="329"/>
      <c r="GE124" s="329"/>
      <c r="GF124" s="329"/>
      <c r="GG124" s="329"/>
      <c r="GH124" s="329"/>
      <c r="GI124" s="329"/>
      <c r="GJ124" s="329"/>
      <c r="GK124" s="329"/>
      <c r="GL124" s="329"/>
      <c r="GM124" s="329"/>
      <c r="GN124" s="329"/>
      <c r="GO124" s="329"/>
      <c r="GP124" s="329"/>
      <c r="GQ124" s="329"/>
      <c r="GR124" s="329"/>
      <c r="GS124" s="329"/>
      <c r="GT124" s="329"/>
      <c r="GU124" s="329"/>
      <c r="GV124" s="329"/>
      <c r="GW124" s="329"/>
      <c r="GX124" s="329"/>
      <c r="GY124" s="329"/>
      <c r="GZ124" s="329"/>
      <c r="HA124" s="329"/>
      <c r="HB124" s="329"/>
      <c r="HC124" s="329"/>
      <c r="HD124" s="329"/>
      <c r="HE124" s="329"/>
      <c r="HF124" s="329"/>
      <c r="HG124" s="329"/>
      <c r="HH124" s="329"/>
      <c r="HI124" s="329"/>
      <c r="HJ124" s="329"/>
      <c r="HK124" s="329"/>
      <c r="HL124" s="329"/>
      <c r="HM124" s="329"/>
      <c r="HN124" s="329"/>
      <c r="HO124" s="329"/>
      <c r="HP124" s="329"/>
      <c r="HQ124" s="329"/>
      <c r="HR124" s="329"/>
      <c r="HS124" s="329"/>
      <c r="HT124" s="329"/>
      <c r="HU124" s="329"/>
      <c r="HV124" s="329"/>
      <c r="HW124" s="329"/>
      <c r="HX124" s="329"/>
      <c r="HY124" s="329"/>
      <c r="HZ124" s="329"/>
      <c r="IA124" s="329"/>
      <c r="IB124" s="329"/>
      <c r="IC124" s="329"/>
      <c r="ID124" s="329"/>
      <c r="IE124" s="329"/>
      <c r="IF124" s="329"/>
      <c r="IG124" s="329"/>
      <c r="IH124" s="329"/>
      <c r="II124" s="329"/>
      <c r="IJ124" s="329"/>
      <c r="IK124" s="329"/>
      <c r="IL124" s="329"/>
      <c r="IM124" s="329"/>
      <c r="IN124" s="329"/>
      <c r="IO124" s="329"/>
      <c r="IP124" s="329"/>
      <c r="IQ124" s="329"/>
      <c r="IR124" s="329"/>
      <c r="IS124" s="329"/>
    </row>
    <row r="125" spans="1:253" ht="15" customHeight="1">
      <c r="A125" s="330" t="s">
        <v>463</v>
      </c>
      <c r="B125" s="331" t="s">
        <v>554</v>
      </c>
      <c r="C125" s="332" t="s">
        <v>524</v>
      </c>
      <c r="D125" s="333">
        <v>114216740</v>
      </c>
      <c r="E125" s="341">
        <v>6622228</v>
      </c>
      <c r="F125" s="333">
        <f t="shared" ref="F125:F132" si="3">G125+H125</f>
        <v>55754406</v>
      </c>
      <c r="G125" s="333">
        <v>27877203</v>
      </c>
      <c r="H125" s="333">
        <v>27877203</v>
      </c>
      <c r="I125" s="331" t="s">
        <v>464</v>
      </c>
      <c r="J125" s="335"/>
      <c r="K125" s="335"/>
      <c r="L125" s="335"/>
      <c r="M125" s="335"/>
      <c r="N125" s="335"/>
      <c r="O125" s="335"/>
      <c r="P125" s="335"/>
      <c r="Q125" s="335"/>
      <c r="R125" s="335"/>
      <c r="S125" s="335"/>
      <c r="T125" s="335"/>
      <c r="U125" s="335"/>
      <c r="V125" s="335"/>
      <c r="W125" s="335"/>
      <c r="X125" s="335"/>
      <c r="Y125" s="335"/>
      <c r="Z125" s="335"/>
      <c r="AA125" s="335"/>
      <c r="AB125" s="335"/>
      <c r="AC125" s="335"/>
      <c r="AD125" s="335"/>
      <c r="AE125" s="335"/>
      <c r="AF125" s="335"/>
      <c r="AG125" s="335"/>
      <c r="AH125" s="335"/>
      <c r="AI125" s="335"/>
      <c r="AJ125" s="335"/>
      <c r="AK125" s="335"/>
      <c r="AL125" s="335"/>
      <c r="AM125" s="335"/>
      <c r="AN125" s="335"/>
      <c r="AO125" s="335"/>
      <c r="AP125" s="335"/>
      <c r="AQ125" s="335"/>
      <c r="AR125" s="335"/>
      <c r="AS125" s="335"/>
      <c r="AT125" s="335"/>
      <c r="AU125" s="335"/>
      <c r="AV125" s="335"/>
      <c r="AW125" s="335"/>
      <c r="AX125" s="335"/>
      <c r="AY125" s="335"/>
      <c r="AZ125" s="335"/>
      <c r="BA125" s="335"/>
      <c r="BB125" s="335"/>
      <c r="BC125" s="335"/>
      <c r="BD125" s="335"/>
      <c r="BE125" s="335"/>
      <c r="BF125" s="335"/>
      <c r="BG125" s="335"/>
      <c r="BH125" s="335"/>
      <c r="BI125" s="335"/>
      <c r="BJ125" s="335"/>
      <c r="BK125" s="335"/>
      <c r="BL125" s="335"/>
      <c r="BM125" s="335"/>
      <c r="BN125" s="335"/>
      <c r="BO125" s="335"/>
      <c r="BP125" s="335"/>
      <c r="BQ125" s="335"/>
      <c r="BR125" s="335"/>
      <c r="BS125" s="335"/>
      <c r="BT125" s="335"/>
      <c r="BU125" s="335"/>
      <c r="BV125" s="335"/>
      <c r="BW125" s="335"/>
      <c r="BX125" s="335"/>
      <c r="BY125" s="335"/>
      <c r="BZ125" s="335"/>
      <c r="CA125" s="335"/>
      <c r="CB125" s="335"/>
      <c r="CC125" s="335"/>
      <c r="CD125" s="335"/>
      <c r="CE125" s="335"/>
      <c r="CF125" s="335"/>
      <c r="CG125" s="335"/>
      <c r="CH125" s="335"/>
      <c r="CI125" s="335"/>
      <c r="CJ125" s="335"/>
      <c r="CK125" s="335"/>
      <c r="CL125" s="335"/>
      <c r="CM125" s="335"/>
      <c r="CN125" s="335"/>
      <c r="CO125" s="335"/>
      <c r="CP125" s="335"/>
      <c r="CQ125" s="335"/>
      <c r="CR125" s="335"/>
      <c r="CS125" s="335"/>
      <c r="CT125" s="335"/>
      <c r="CU125" s="335"/>
      <c r="CV125" s="335"/>
      <c r="CW125" s="335"/>
      <c r="CX125" s="335"/>
      <c r="CY125" s="335"/>
      <c r="CZ125" s="335"/>
      <c r="DA125" s="335"/>
      <c r="DB125" s="335"/>
      <c r="DC125" s="335"/>
      <c r="DD125" s="335"/>
      <c r="DE125" s="335"/>
      <c r="DF125" s="335"/>
      <c r="DG125" s="335"/>
      <c r="DH125" s="335"/>
      <c r="DI125" s="335"/>
      <c r="DJ125" s="335"/>
      <c r="DK125" s="335"/>
      <c r="DL125" s="335"/>
      <c r="DM125" s="335"/>
      <c r="DN125" s="335"/>
      <c r="DO125" s="335"/>
      <c r="DP125" s="335"/>
      <c r="DQ125" s="335"/>
      <c r="DR125" s="335"/>
      <c r="DS125" s="335"/>
      <c r="DT125" s="335"/>
      <c r="DU125" s="335"/>
      <c r="DV125" s="335"/>
      <c r="DW125" s="335"/>
      <c r="DX125" s="335"/>
      <c r="DY125" s="335"/>
      <c r="DZ125" s="335"/>
      <c r="EA125" s="335"/>
      <c r="EB125" s="335"/>
      <c r="EC125" s="335"/>
      <c r="ED125" s="335"/>
      <c r="EE125" s="335"/>
      <c r="EF125" s="335"/>
      <c r="EG125" s="335"/>
      <c r="EH125" s="335"/>
      <c r="EI125" s="335"/>
      <c r="EJ125" s="335"/>
      <c r="EK125" s="335"/>
      <c r="EL125" s="335"/>
      <c r="EM125" s="335"/>
      <c r="EN125" s="335"/>
      <c r="EO125" s="335"/>
      <c r="EP125" s="335"/>
      <c r="EQ125" s="335"/>
      <c r="ER125" s="335"/>
      <c r="ES125" s="335"/>
      <c r="ET125" s="335"/>
      <c r="EU125" s="335"/>
      <c r="EV125" s="335"/>
      <c r="EW125" s="335"/>
      <c r="EX125" s="335"/>
      <c r="EY125" s="335"/>
      <c r="EZ125" s="335"/>
      <c r="FA125" s="335"/>
      <c r="FB125" s="335"/>
      <c r="FC125" s="335"/>
      <c r="FD125" s="335"/>
      <c r="FE125" s="335"/>
      <c r="FF125" s="335"/>
      <c r="FG125" s="335"/>
      <c r="FH125" s="335"/>
      <c r="FI125" s="335"/>
      <c r="FJ125" s="335"/>
      <c r="FK125" s="335"/>
      <c r="FL125" s="335"/>
      <c r="FM125" s="335"/>
      <c r="FN125" s="335"/>
      <c r="FO125" s="335"/>
      <c r="FP125" s="335"/>
      <c r="FQ125" s="335"/>
      <c r="FR125" s="335"/>
      <c r="FS125" s="335"/>
      <c r="FT125" s="335"/>
      <c r="FU125" s="335"/>
      <c r="FV125" s="335"/>
      <c r="FW125" s="335"/>
      <c r="FX125" s="335"/>
      <c r="FY125" s="335"/>
      <c r="FZ125" s="335"/>
      <c r="GA125" s="335"/>
      <c r="GB125" s="335"/>
      <c r="GC125" s="335"/>
      <c r="GD125" s="335"/>
      <c r="GE125" s="335"/>
      <c r="GF125" s="335"/>
      <c r="GG125" s="335"/>
      <c r="GH125" s="335"/>
      <c r="GI125" s="335"/>
      <c r="GJ125" s="335"/>
      <c r="GK125" s="335"/>
      <c r="GL125" s="335"/>
      <c r="GM125" s="335"/>
      <c r="GN125" s="335"/>
      <c r="GO125" s="335"/>
      <c r="GP125" s="335"/>
      <c r="GQ125" s="335"/>
      <c r="GR125" s="335"/>
      <c r="GS125" s="335"/>
      <c r="GT125" s="335"/>
      <c r="GU125" s="335"/>
      <c r="GV125" s="335"/>
      <c r="GW125" s="335"/>
      <c r="GX125" s="335"/>
      <c r="GY125" s="335"/>
      <c r="GZ125" s="335"/>
      <c r="HA125" s="335"/>
      <c r="HB125" s="335"/>
      <c r="HC125" s="335"/>
      <c r="HD125" s="335"/>
      <c r="HE125" s="335"/>
      <c r="HF125" s="335"/>
      <c r="HG125" s="335"/>
      <c r="HH125" s="335"/>
      <c r="HI125" s="335"/>
      <c r="HJ125" s="335"/>
      <c r="HK125" s="335"/>
      <c r="HL125" s="335"/>
      <c r="HM125" s="335"/>
      <c r="HN125" s="335"/>
      <c r="HO125" s="335"/>
      <c r="HP125" s="335"/>
      <c r="HQ125" s="335"/>
      <c r="HR125" s="335"/>
      <c r="HS125" s="335"/>
      <c r="HT125" s="335"/>
      <c r="HU125" s="335"/>
      <c r="HV125" s="335"/>
      <c r="HW125" s="335"/>
      <c r="HX125" s="335"/>
      <c r="HY125" s="335"/>
      <c r="HZ125" s="335"/>
      <c r="IA125" s="335"/>
      <c r="IB125" s="335"/>
      <c r="IC125" s="335"/>
      <c r="ID125" s="335"/>
      <c r="IE125" s="335"/>
      <c r="IF125" s="335"/>
      <c r="IG125" s="335"/>
      <c r="IH125" s="335"/>
      <c r="II125" s="335"/>
      <c r="IJ125" s="335"/>
      <c r="IK125" s="335"/>
      <c r="IL125" s="335"/>
      <c r="IM125" s="335"/>
      <c r="IN125" s="335"/>
      <c r="IO125" s="335"/>
      <c r="IP125" s="335"/>
      <c r="IQ125" s="335"/>
      <c r="IR125" s="335"/>
      <c r="IS125" s="335"/>
    </row>
    <row r="126" spans="1:253" s="672" customFormat="1" ht="54.95" customHeight="1">
      <c r="A126" s="667" t="s">
        <v>463</v>
      </c>
      <c r="B126" s="668" t="s">
        <v>555</v>
      </c>
      <c r="C126" s="669" t="s">
        <v>504</v>
      </c>
      <c r="D126" s="670">
        <v>9092217</v>
      </c>
      <c r="E126" s="679">
        <v>8534217</v>
      </c>
      <c r="F126" s="670">
        <f t="shared" si="3"/>
        <v>558000</v>
      </c>
      <c r="G126" s="670">
        <v>558000</v>
      </c>
      <c r="H126" s="670">
        <v>0</v>
      </c>
      <c r="I126" s="668" t="s">
        <v>556</v>
      </c>
    </row>
    <row r="127" spans="1:253" s="672" customFormat="1" ht="29.1" customHeight="1">
      <c r="A127" s="667" t="s">
        <v>463</v>
      </c>
      <c r="B127" s="668" t="s">
        <v>557</v>
      </c>
      <c r="C127" s="669" t="s">
        <v>558</v>
      </c>
      <c r="D127" s="670">
        <v>6253645</v>
      </c>
      <c r="E127" s="679">
        <v>4383137</v>
      </c>
      <c r="F127" s="670">
        <f t="shared" si="3"/>
        <v>1870508</v>
      </c>
      <c r="G127" s="670">
        <v>1870508</v>
      </c>
      <c r="H127" s="670">
        <v>0</v>
      </c>
      <c r="I127" s="668" t="s">
        <v>556</v>
      </c>
    </row>
    <row r="128" spans="1:253" s="672" customFormat="1" ht="29.1" customHeight="1">
      <c r="A128" s="667" t="s">
        <v>559</v>
      </c>
      <c r="B128" s="668" t="s">
        <v>560</v>
      </c>
      <c r="C128" s="669" t="s">
        <v>513</v>
      </c>
      <c r="D128" s="670">
        <v>79565840</v>
      </c>
      <c r="E128" s="679">
        <v>352794</v>
      </c>
      <c r="F128" s="670">
        <f t="shared" si="3"/>
        <v>14192568</v>
      </c>
      <c r="G128" s="670">
        <v>14192568</v>
      </c>
      <c r="H128" s="670">
        <v>0</v>
      </c>
      <c r="I128" s="668" t="s">
        <v>561</v>
      </c>
    </row>
    <row r="129" spans="1:253" s="672" customFormat="1" ht="29.1" customHeight="1">
      <c r="A129" s="667" t="s">
        <v>469</v>
      </c>
      <c r="B129" s="680" t="s">
        <v>562</v>
      </c>
      <c r="C129" s="669" t="s">
        <v>511</v>
      </c>
      <c r="D129" s="670">
        <v>1497793</v>
      </c>
      <c r="E129" s="679">
        <v>35950</v>
      </c>
      <c r="F129" s="670">
        <f t="shared" si="3"/>
        <v>1461843</v>
      </c>
      <c r="G129" s="670">
        <v>1461843</v>
      </c>
      <c r="H129" s="670">
        <v>0</v>
      </c>
      <c r="I129" s="668" t="s">
        <v>563</v>
      </c>
    </row>
    <row r="130" spans="1:253" s="672" customFormat="1" ht="29.1" customHeight="1">
      <c r="A130" s="667" t="s">
        <v>469</v>
      </c>
      <c r="B130" s="680" t="s">
        <v>564</v>
      </c>
      <c r="C130" s="669" t="s">
        <v>565</v>
      </c>
      <c r="D130" s="670">
        <v>13046425</v>
      </c>
      <c r="E130" s="679">
        <v>0</v>
      </c>
      <c r="F130" s="670">
        <f t="shared" si="3"/>
        <v>791425</v>
      </c>
      <c r="G130" s="670">
        <v>791425</v>
      </c>
      <c r="H130" s="670">
        <v>0</v>
      </c>
      <c r="I130" s="668" t="s">
        <v>471</v>
      </c>
    </row>
    <row r="131" spans="1:253" s="672" customFormat="1" ht="29.1" customHeight="1">
      <c r="A131" s="667" t="s">
        <v>469</v>
      </c>
      <c r="B131" s="680" t="s">
        <v>566</v>
      </c>
      <c r="C131" s="669" t="s">
        <v>513</v>
      </c>
      <c r="D131" s="670">
        <v>24595956</v>
      </c>
      <c r="E131" s="679">
        <v>203565</v>
      </c>
      <c r="F131" s="670">
        <f t="shared" si="3"/>
        <v>7871766</v>
      </c>
      <c r="G131" s="670">
        <v>7871766</v>
      </c>
      <c r="H131" s="670">
        <v>0</v>
      </c>
      <c r="I131" s="668" t="s">
        <v>567</v>
      </c>
    </row>
    <row r="132" spans="1:253" s="672" customFormat="1" ht="29.1" customHeight="1">
      <c r="A132" s="667" t="s">
        <v>469</v>
      </c>
      <c r="B132" s="680" t="s">
        <v>568</v>
      </c>
      <c r="C132" s="669" t="s">
        <v>507</v>
      </c>
      <c r="D132" s="670">
        <v>420958</v>
      </c>
      <c r="E132" s="679">
        <v>95100</v>
      </c>
      <c r="F132" s="670">
        <f t="shared" si="3"/>
        <v>325858</v>
      </c>
      <c r="G132" s="670">
        <v>325858</v>
      </c>
      <c r="H132" s="670">
        <v>0</v>
      </c>
      <c r="I132" s="668" t="s">
        <v>569</v>
      </c>
    </row>
    <row r="133" spans="1:253" s="672" customFormat="1" ht="42" customHeight="1">
      <c r="A133" s="667" t="s">
        <v>478</v>
      </c>
      <c r="B133" s="680" t="s">
        <v>570</v>
      </c>
      <c r="C133" s="669" t="s">
        <v>509</v>
      </c>
      <c r="D133" s="670">
        <v>31048802</v>
      </c>
      <c r="E133" s="679">
        <v>8802306</v>
      </c>
      <c r="F133" s="670">
        <f>G133+H133</f>
        <v>22246496</v>
      </c>
      <c r="G133" s="670">
        <v>22246496</v>
      </c>
      <c r="H133" s="670">
        <v>0</v>
      </c>
      <c r="I133" s="668" t="s">
        <v>479</v>
      </c>
    </row>
    <row r="134" spans="1:253" s="672" customFormat="1" ht="29.1" customHeight="1">
      <c r="A134" s="667" t="s">
        <v>482</v>
      </c>
      <c r="B134" s="680" t="s">
        <v>571</v>
      </c>
      <c r="C134" s="669" t="s">
        <v>552</v>
      </c>
      <c r="D134" s="670">
        <v>2775875</v>
      </c>
      <c r="E134" s="679">
        <v>0</v>
      </c>
      <c r="F134" s="670">
        <f>G134+H134</f>
        <v>401625</v>
      </c>
      <c r="G134" s="670">
        <v>401625</v>
      </c>
      <c r="H134" s="670">
        <v>0</v>
      </c>
      <c r="I134" s="668" t="s">
        <v>483</v>
      </c>
    </row>
    <row r="135" spans="1:253" s="672" customFormat="1" ht="29.1" customHeight="1">
      <c r="A135" s="667" t="s">
        <v>482</v>
      </c>
      <c r="B135" s="680" t="s">
        <v>572</v>
      </c>
      <c r="C135" s="669" t="s">
        <v>552</v>
      </c>
      <c r="D135" s="670">
        <v>2072822</v>
      </c>
      <c r="E135" s="679">
        <v>0</v>
      </c>
      <c r="F135" s="670">
        <f>G135+H135</f>
        <v>1110974</v>
      </c>
      <c r="G135" s="670">
        <v>1110974</v>
      </c>
      <c r="H135" s="670">
        <v>0</v>
      </c>
      <c r="I135" s="668" t="s">
        <v>573</v>
      </c>
    </row>
    <row r="136" spans="1:253" s="672" customFormat="1" ht="29.1" customHeight="1">
      <c r="A136" s="667" t="s">
        <v>482</v>
      </c>
      <c r="B136" s="680" t="s">
        <v>574</v>
      </c>
      <c r="C136" s="669" t="s">
        <v>507</v>
      </c>
      <c r="D136" s="670">
        <v>250000</v>
      </c>
      <c r="E136" s="679">
        <v>60000</v>
      </c>
      <c r="F136" s="670">
        <f>G136+H136</f>
        <v>190000</v>
      </c>
      <c r="G136" s="670">
        <v>190000</v>
      </c>
      <c r="H136" s="670">
        <v>0</v>
      </c>
      <c r="I136" s="668" t="s">
        <v>575</v>
      </c>
    </row>
    <row r="137" spans="1:253" ht="12.95" customHeight="1">
      <c r="A137" s="330"/>
      <c r="B137" s="331"/>
      <c r="C137" s="332"/>
      <c r="D137" s="333"/>
      <c r="E137" s="341"/>
      <c r="F137" s="333"/>
      <c r="G137" s="333"/>
      <c r="H137" s="333"/>
      <c r="I137" s="337"/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335"/>
      <c r="AA137" s="335"/>
      <c r="AB137" s="335"/>
      <c r="AC137" s="335"/>
      <c r="AD137" s="335"/>
      <c r="AE137" s="335"/>
      <c r="AF137" s="335"/>
      <c r="AG137" s="335"/>
      <c r="AH137" s="335"/>
      <c r="AI137" s="335"/>
      <c r="AJ137" s="335"/>
      <c r="AK137" s="335"/>
      <c r="AL137" s="335"/>
      <c r="AM137" s="335"/>
      <c r="AN137" s="335"/>
      <c r="AO137" s="335"/>
      <c r="AP137" s="335"/>
      <c r="AQ137" s="335"/>
      <c r="AR137" s="335"/>
      <c r="AS137" s="335"/>
      <c r="AT137" s="335"/>
      <c r="AU137" s="335"/>
      <c r="AV137" s="335"/>
      <c r="AW137" s="335"/>
      <c r="AX137" s="335"/>
      <c r="AY137" s="335"/>
      <c r="AZ137" s="335"/>
      <c r="BA137" s="335"/>
      <c r="BB137" s="335"/>
      <c r="BC137" s="335"/>
      <c r="BD137" s="335"/>
      <c r="BE137" s="335"/>
      <c r="BF137" s="335"/>
      <c r="BG137" s="335"/>
      <c r="BH137" s="335"/>
      <c r="BI137" s="335"/>
      <c r="BJ137" s="335"/>
      <c r="BK137" s="335"/>
      <c r="BL137" s="335"/>
      <c r="BM137" s="335"/>
      <c r="BN137" s="335"/>
      <c r="BO137" s="335"/>
      <c r="BP137" s="335"/>
      <c r="BQ137" s="335"/>
      <c r="BR137" s="335"/>
      <c r="BS137" s="335"/>
      <c r="BT137" s="335"/>
      <c r="BU137" s="335"/>
      <c r="BV137" s="335"/>
      <c r="BW137" s="335"/>
      <c r="BX137" s="335"/>
      <c r="BY137" s="335"/>
      <c r="BZ137" s="335"/>
      <c r="CA137" s="335"/>
      <c r="CB137" s="335"/>
      <c r="CC137" s="335"/>
      <c r="CD137" s="335"/>
      <c r="CE137" s="335"/>
      <c r="CF137" s="335"/>
      <c r="CG137" s="335"/>
      <c r="CH137" s="335"/>
      <c r="CI137" s="335"/>
      <c r="CJ137" s="335"/>
      <c r="CK137" s="335"/>
      <c r="CL137" s="335"/>
      <c r="CM137" s="335"/>
      <c r="CN137" s="335"/>
      <c r="CO137" s="335"/>
      <c r="CP137" s="335"/>
      <c r="CQ137" s="335"/>
      <c r="CR137" s="335"/>
      <c r="CS137" s="335"/>
      <c r="CT137" s="335"/>
      <c r="CU137" s="335"/>
      <c r="CV137" s="335"/>
      <c r="CW137" s="335"/>
      <c r="CX137" s="335"/>
      <c r="CY137" s="335"/>
      <c r="CZ137" s="335"/>
      <c r="DA137" s="335"/>
      <c r="DB137" s="335"/>
      <c r="DC137" s="335"/>
      <c r="DD137" s="335"/>
      <c r="DE137" s="335"/>
      <c r="DF137" s="335"/>
      <c r="DG137" s="335"/>
      <c r="DH137" s="335"/>
      <c r="DI137" s="335"/>
      <c r="DJ137" s="335"/>
      <c r="DK137" s="335"/>
      <c r="DL137" s="335"/>
      <c r="DM137" s="335"/>
      <c r="DN137" s="335"/>
      <c r="DO137" s="335"/>
      <c r="DP137" s="335"/>
      <c r="DQ137" s="335"/>
      <c r="DR137" s="335"/>
      <c r="DS137" s="335"/>
      <c r="DT137" s="335"/>
      <c r="DU137" s="335"/>
      <c r="DV137" s="335"/>
      <c r="DW137" s="335"/>
      <c r="DX137" s="335"/>
      <c r="DY137" s="335"/>
      <c r="DZ137" s="335"/>
      <c r="EA137" s="335"/>
      <c r="EB137" s="335"/>
      <c r="EC137" s="335"/>
      <c r="ED137" s="335"/>
      <c r="EE137" s="335"/>
      <c r="EF137" s="335"/>
      <c r="EG137" s="335"/>
      <c r="EH137" s="335"/>
      <c r="EI137" s="335"/>
      <c r="EJ137" s="335"/>
      <c r="EK137" s="335"/>
      <c r="EL137" s="335"/>
      <c r="EM137" s="335"/>
      <c r="EN137" s="335"/>
      <c r="EO137" s="335"/>
      <c r="EP137" s="335"/>
      <c r="EQ137" s="335"/>
      <c r="ER137" s="335"/>
      <c r="ES137" s="335"/>
      <c r="ET137" s="335"/>
      <c r="EU137" s="335"/>
      <c r="EV137" s="335"/>
      <c r="EW137" s="335"/>
      <c r="EX137" s="335"/>
      <c r="EY137" s="335"/>
      <c r="EZ137" s="335"/>
      <c r="FA137" s="335"/>
      <c r="FB137" s="335"/>
      <c r="FC137" s="335"/>
      <c r="FD137" s="335"/>
      <c r="FE137" s="335"/>
      <c r="FF137" s="335"/>
      <c r="FG137" s="335"/>
      <c r="FH137" s="335"/>
      <c r="FI137" s="335"/>
      <c r="FJ137" s="335"/>
      <c r="FK137" s="335"/>
      <c r="FL137" s="335"/>
      <c r="FM137" s="335"/>
      <c r="FN137" s="335"/>
      <c r="FO137" s="335"/>
      <c r="FP137" s="335"/>
      <c r="FQ137" s="335"/>
      <c r="FR137" s="335"/>
      <c r="FS137" s="335"/>
      <c r="FT137" s="335"/>
      <c r="FU137" s="335"/>
      <c r="FV137" s="335"/>
      <c r="FW137" s="335"/>
      <c r="FX137" s="335"/>
      <c r="FY137" s="335"/>
      <c r="FZ137" s="335"/>
      <c r="GA137" s="335"/>
      <c r="GB137" s="335"/>
      <c r="GC137" s="335"/>
      <c r="GD137" s="335"/>
      <c r="GE137" s="335"/>
      <c r="GF137" s="335"/>
      <c r="GG137" s="335"/>
      <c r="GH137" s="335"/>
      <c r="GI137" s="335"/>
      <c r="GJ137" s="335"/>
      <c r="GK137" s="335"/>
      <c r="GL137" s="335"/>
      <c r="GM137" s="335"/>
      <c r="GN137" s="335"/>
      <c r="GO137" s="335"/>
      <c r="GP137" s="335"/>
      <c r="GQ137" s="335"/>
      <c r="GR137" s="335"/>
      <c r="GS137" s="335"/>
      <c r="GT137" s="335"/>
      <c r="GU137" s="335"/>
      <c r="GV137" s="335"/>
      <c r="GW137" s="335"/>
      <c r="GX137" s="335"/>
      <c r="GY137" s="335"/>
      <c r="GZ137" s="335"/>
      <c r="HA137" s="335"/>
      <c r="HB137" s="335"/>
      <c r="HC137" s="335"/>
      <c r="HD137" s="335"/>
      <c r="HE137" s="335"/>
      <c r="HF137" s="335"/>
      <c r="HG137" s="335"/>
      <c r="HH137" s="335"/>
      <c r="HI137" s="335"/>
      <c r="HJ137" s="335"/>
      <c r="HK137" s="335"/>
      <c r="HL137" s="335"/>
      <c r="HM137" s="335"/>
      <c r="HN137" s="335"/>
      <c r="HO137" s="335"/>
      <c r="HP137" s="335"/>
      <c r="HQ137" s="335"/>
      <c r="HR137" s="335"/>
      <c r="HS137" s="335"/>
      <c r="HT137" s="335"/>
      <c r="HU137" s="335"/>
      <c r="HV137" s="335"/>
      <c r="HW137" s="335"/>
      <c r="HX137" s="335"/>
      <c r="HY137" s="335"/>
      <c r="HZ137" s="335"/>
      <c r="IA137" s="335"/>
      <c r="IB137" s="335"/>
      <c r="IC137" s="335"/>
      <c r="ID137" s="335"/>
      <c r="IE137" s="335"/>
      <c r="IF137" s="335"/>
      <c r="IG137" s="335"/>
      <c r="IH137" s="335"/>
      <c r="II137" s="335"/>
      <c r="IJ137" s="335"/>
      <c r="IK137" s="335"/>
      <c r="IL137" s="335"/>
      <c r="IM137" s="335"/>
      <c r="IN137" s="335"/>
      <c r="IO137" s="335"/>
      <c r="IP137" s="335"/>
      <c r="IQ137" s="335"/>
      <c r="IR137" s="335"/>
      <c r="IS137" s="335"/>
    </row>
    <row r="138" spans="1:253" ht="15.75">
      <c r="A138" s="1015" t="s">
        <v>498</v>
      </c>
      <c r="B138" s="1016"/>
      <c r="C138" s="316" t="s">
        <v>421</v>
      </c>
      <c r="D138" s="338">
        <f>D81+D109+D113+D115+D118+D122+D124+D111</f>
        <v>1131399748</v>
      </c>
      <c r="E138" s="338">
        <f>E81+E109+E113+E115+E118+E122+E124+E111</f>
        <v>85218778</v>
      </c>
      <c r="F138" s="338">
        <f>F81+F109+F113+F115+F118+F122+F124+F111</f>
        <v>314359915</v>
      </c>
      <c r="G138" s="338">
        <f>G81+G109+G113+G115+G118+G122+G124+G111</f>
        <v>254327420</v>
      </c>
      <c r="H138" s="338">
        <f>H81+H109+H113+H115+H118+H122+H124+H111</f>
        <v>60032495</v>
      </c>
      <c r="I138" s="340" t="s">
        <v>421</v>
      </c>
      <c r="J138" s="329"/>
      <c r="K138" s="329"/>
      <c r="L138" s="329"/>
      <c r="M138" s="329"/>
      <c r="N138" s="329"/>
      <c r="O138" s="329"/>
      <c r="P138" s="329"/>
      <c r="Q138" s="329"/>
      <c r="R138" s="329"/>
      <c r="S138" s="329"/>
      <c r="T138" s="329"/>
      <c r="U138" s="329"/>
      <c r="V138" s="329"/>
      <c r="W138" s="329"/>
      <c r="X138" s="329"/>
      <c r="Y138" s="329"/>
      <c r="Z138" s="329"/>
      <c r="AA138" s="329"/>
      <c r="AB138" s="329"/>
      <c r="AC138" s="329"/>
      <c r="AD138" s="329"/>
      <c r="AE138" s="329"/>
      <c r="AF138" s="329"/>
      <c r="AG138" s="329"/>
      <c r="AH138" s="329"/>
      <c r="AI138" s="329"/>
      <c r="AJ138" s="329"/>
      <c r="AK138" s="329"/>
      <c r="AL138" s="329"/>
      <c r="AM138" s="329"/>
      <c r="AN138" s="329"/>
      <c r="AO138" s="329"/>
      <c r="AP138" s="329"/>
      <c r="AQ138" s="329"/>
      <c r="AR138" s="329"/>
      <c r="AS138" s="329"/>
      <c r="AT138" s="329"/>
      <c r="AU138" s="329"/>
      <c r="AV138" s="329"/>
      <c r="AW138" s="329"/>
      <c r="AX138" s="329"/>
      <c r="AY138" s="329"/>
      <c r="AZ138" s="329"/>
      <c r="BA138" s="329"/>
      <c r="BB138" s="329"/>
      <c r="BC138" s="329"/>
      <c r="BD138" s="329"/>
      <c r="BE138" s="329"/>
      <c r="BF138" s="329"/>
      <c r="BG138" s="329"/>
      <c r="BH138" s="329"/>
      <c r="BI138" s="329"/>
      <c r="BJ138" s="329"/>
      <c r="BK138" s="329"/>
      <c r="BL138" s="329"/>
      <c r="BM138" s="329"/>
      <c r="BN138" s="329"/>
      <c r="BO138" s="329"/>
      <c r="BP138" s="329"/>
      <c r="BQ138" s="329"/>
      <c r="BR138" s="329"/>
      <c r="BS138" s="329"/>
      <c r="BT138" s="329"/>
      <c r="BU138" s="329"/>
      <c r="BV138" s="329"/>
      <c r="BW138" s="329"/>
      <c r="BX138" s="329"/>
      <c r="BY138" s="329"/>
      <c r="BZ138" s="329"/>
      <c r="CA138" s="329"/>
      <c r="CB138" s="329"/>
      <c r="CC138" s="329"/>
      <c r="CD138" s="329"/>
      <c r="CE138" s="329"/>
      <c r="CF138" s="329"/>
      <c r="CG138" s="329"/>
      <c r="CH138" s="329"/>
      <c r="CI138" s="329"/>
      <c r="CJ138" s="329"/>
      <c r="CK138" s="329"/>
      <c r="CL138" s="329"/>
      <c r="CM138" s="329"/>
      <c r="CN138" s="329"/>
      <c r="CO138" s="329"/>
      <c r="CP138" s="329"/>
      <c r="CQ138" s="329"/>
      <c r="CR138" s="329"/>
      <c r="CS138" s="329"/>
      <c r="CT138" s="329"/>
      <c r="CU138" s="329"/>
      <c r="CV138" s="329"/>
      <c r="CW138" s="329"/>
      <c r="CX138" s="329"/>
      <c r="CY138" s="329"/>
      <c r="CZ138" s="329"/>
      <c r="DA138" s="329"/>
      <c r="DB138" s="329"/>
      <c r="DC138" s="329"/>
      <c r="DD138" s="329"/>
      <c r="DE138" s="329"/>
      <c r="DF138" s="329"/>
      <c r="DG138" s="329"/>
      <c r="DH138" s="329"/>
      <c r="DI138" s="329"/>
      <c r="DJ138" s="329"/>
      <c r="DK138" s="329"/>
      <c r="DL138" s="329"/>
      <c r="DM138" s="329"/>
      <c r="DN138" s="329"/>
      <c r="DO138" s="329"/>
      <c r="DP138" s="329"/>
      <c r="DQ138" s="329"/>
      <c r="DR138" s="329"/>
      <c r="DS138" s="329"/>
      <c r="DT138" s="329"/>
      <c r="DU138" s="329"/>
      <c r="DV138" s="329"/>
      <c r="DW138" s="329"/>
      <c r="DX138" s="329"/>
      <c r="DY138" s="329"/>
      <c r="DZ138" s="329"/>
      <c r="EA138" s="329"/>
      <c r="EB138" s="329"/>
      <c r="EC138" s="329"/>
      <c r="ED138" s="329"/>
      <c r="EE138" s="329"/>
      <c r="EF138" s="329"/>
      <c r="EG138" s="329"/>
      <c r="EH138" s="329"/>
      <c r="EI138" s="329"/>
      <c r="EJ138" s="329"/>
      <c r="EK138" s="329"/>
      <c r="EL138" s="329"/>
      <c r="EM138" s="329"/>
      <c r="EN138" s="329"/>
      <c r="EO138" s="329"/>
      <c r="EP138" s="329"/>
      <c r="EQ138" s="329"/>
      <c r="ER138" s="329"/>
      <c r="ES138" s="329"/>
      <c r="ET138" s="329"/>
      <c r="EU138" s="329"/>
      <c r="EV138" s="329"/>
      <c r="EW138" s="329"/>
      <c r="EX138" s="329"/>
      <c r="EY138" s="329"/>
      <c r="EZ138" s="329"/>
      <c r="FA138" s="329"/>
      <c r="FB138" s="329"/>
      <c r="FC138" s="329"/>
      <c r="FD138" s="329"/>
      <c r="FE138" s="329"/>
      <c r="FF138" s="329"/>
      <c r="FG138" s="329"/>
      <c r="FH138" s="329"/>
      <c r="FI138" s="329"/>
      <c r="FJ138" s="329"/>
      <c r="FK138" s="329"/>
      <c r="FL138" s="329"/>
      <c r="FM138" s="329"/>
      <c r="FN138" s="329"/>
      <c r="FO138" s="329"/>
      <c r="FP138" s="329"/>
      <c r="FQ138" s="329"/>
      <c r="FR138" s="329"/>
      <c r="FS138" s="329"/>
      <c r="FT138" s="329"/>
      <c r="FU138" s="329"/>
      <c r="FV138" s="329"/>
      <c r="FW138" s="329"/>
      <c r="FX138" s="329"/>
      <c r="FY138" s="329"/>
      <c r="FZ138" s="329"/>
      <c r="GA138" s="329"/>
      <c r="GB138" s="329"/>
      <c r="GC138" s="329"/>
      <c r="GD138" s="329"/>
      <c r="GE138" s="329"/>
      <c r="GF138" s="329"/>
      <c r="GG138" s="329"/>
      <c r="GH138" s="329"/>
      <c r="GI138" s="329"/>
      <c r="GJ138" s="329"/>
      <c r="GK138" s="329"/>
      <c r="GL138" s="329"/>
      <c r="GM138" s="329"/>
      <c r="GN138" s="329"/>
      <c r="GO138" s="329"/>
      <c r="GP138" s="329"/>
      <c r="GQ138" s="329"/>
      <c r="GR138" s="329"/>
      <c r="GS138" s="329"/>
      <c r="GT138" s="329"/>
      <c r="GU138" s="329"/>
      <c r="GV138" s="329"/>
      <c r="GW138" s="329"/>
      <c r="GX138" s="329"/>
      <c r="GY138" s="329"/>
      <c r="GZ138" s="329"/>
      <c r="HA138" s="329"/>
      <c r="HB138" s="329"/>
      <c r="HC138" s="329"/>
      <c r="HD138" s="329"/>
      <c r="HE138" s="329"/>
      <c r="HF138" s="329"/>
      <c r="HG138" s="329"/>
      <c r="HH138" s="329"/>
      <c r="HI138" s="329"/>
      <c r="HJ138" s="329"/>
      <c r="HK138" s="329"/>
      <c r="HL138" s="329"/>
      <c r="HM138" s="329"/>
      <c r="HN138" s="329"/>
      <c r="HO138" s="329"/>
      <c r="HP138" s="329"/>
      <c r="HQ138" s="329"/>
      <c r="HR138" s="329"/>
      <c r="HS138" s="329"/>
      <c r="HT138" s="329"/>
      <c r="HU138" s="329"/>
      <c r="HV138" s="329"/>
      <c r="HW138" s="329"/>
      <c r="HX138" s="329"/>
      <c r="HY138" s="329"/>
      <c r="HZ138" s="329"/>
      <c r="IA138" s="329"/>
      <c r="IB138" s="329"/>
      <c r="IC138" s="329"/>
      <c r="ID138" s="329"/>
      <c r="IE138" s="329"/>
      <c r="IF138" s="329"/>
      <c r="IG138" s="329"/>
      <c r="IH138" s="329"/>
      <c r="II138" s="329"/>
      <c r="IJ138" s="329"/>
      <c r="IK138" s="329"/>
      <c r="IL138" s="329"/>
      <c r="IM138" s="329"/>
      <c r="IN138" s="329"/>
      <c r="IO138" s="329"/>
      <c r="IP138" s="329"/>
      <c r="IQ138" s="329"/>
      <c r="IR138" s="329"/>
      <c r="IS138" s="329"/>
    </row>
    <row r="139" spans="1:253" ht="9.9499999999999993" customHeight="1">
      <c r="A139" s="1009"/>
      <c r="B139" s="1009"/>
      <c r="C139" s="1009"/>
      <c r="D139" s="1009"/>
      <c r="E139" s="1009"/>
      <c r="F139" s="1009"/>
      <c r="G139" s="1009"/>
      <c r="H139" s="1009"/>
      <c r="I139" s="1009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E139" s="335"/>
      <c r="AF139" s="335"/>
      <c r="AG139" s="335"/>
      <c r="AH139" s="335"/>
      <c r="AI139" s="335"/>
      <c r="AJ139" s="335"/>
      <c r="AK139" s="335"/>
      <c r="AL139" s="335"/>
      <c r="AM139" s="335"/>
      <c r="AN139" s="335"/>
      <c r="AO139" s="335"/>
      <c r="AP139" s="335"/>
      <c r="AQ139" s="335"/>
      <c r="AR139" s="335"/>
      <c r="AS139" s="335"/>
      <c r="AT139" s="335"/>
      <c r="AU139" s="335"/>
      <c r="AV139" s="335"/>
      <c r="AW139" s="335"/>
      <c r="AX139" s="335"/>
      <c r="AY139" s="335"/>
      <c r="AZ139" s="335"/>
      <c r="BA139" s="335"/>
      <c r="BB139" s="335"/>
      <c r="BC139" s="335"/>
      <c r="BD139" s="335"/>
      <c r="BE139" s="335"/>
      <c r="BF139" s="335"/>
      <c r="BG139" s="335"/>
      <c r="BH139" s="335"/>
      <c r="BI139" s="335"/>
      <c r="BJ139" s="335"/>
      <c r="BK139" s="335"/>
      <c r="BL139" s="335"/>
      <c r="BM139" s="335"/>
      <c r="BN139" s="335"/>
      <c r="BO139" s="335"/>
      <c r="BP139" s="335"/>
      <c r="BQ139" s="335"/>
      <c r="BR139" s="335"/>
      <c r="BS139" s="335"/>
      <c r="BT139" s="335"/>
      <c r="BU139" s="335"/>
      <c r="BV139" s="335"/>
      <c r="BW139" s="335"/>
      <c r="BX139" s="335"/>
      <c r="BY139" s="335"/>
      <c r="BZ139" s="335"/>
      <c r="CA139" s="335"/>
      <c r="CB139" s="335"/>
      <c r="CC139" s="335"/>
      <c r="CD139" s="335"/>
      <c r="CE139" s="335"/>
      <c r="CF139" s="335"/>
      <c r="CG139" s="335"/>
      <c r="CH139" s="335"/>
      <c r="CI139" s="335"/>
      <c r="CJ139" s="335"/>
      <c r="CK139" s="335"/>
      <c r="CL139" s="335"/>
      <c r="CM139" s="335"/>
      <c r="CN139" s="335"/>
      <c r="CO139" s="335"/>
      <c r="CP139" s="335"/>
      <c r="CQ139" s="335"/>
      <c r="CR139" s="335"/>
      <c r="CS139" s="335"/>
      <c r="CT139" s="335"/>
      <c r="CU139" s="335"/>
      <c r="CV139" s="335"/>
      <c r="CW139" s="335"/>
      <c r="CX139" s="335"/>
      <c r="CY139" s="335"/>
      <c r="CZ139" s="335"/>
      <c r="DA139" s="335"/>
      <c r="DB139" s="335"/>
      <c r="DC139" s="335"/>
      <c r="DD139" s="335"/>
      <c r="DE139" s="335"/>
      <c r="DF139" s="335"/>
      <c r="DG139" s="335"/>
      <c r="DH139" s="335"/>
      <c r="DI139" s="335"/>
      <c r="DJ139" s="335"/>
      <c r="DK139" s="335"/>
      <c r="DL139" s="335"/>
      <c r="DM139" s="335"/>
      <c r="DN139" s="335"/>
      <c r="DO139" s="335"/>
      <c r="DP139" s="335"/>
      <c r="DQ139" s="335"/>
      <c r="DR139" s="335"/>
      <c r="DS139" s="335"/>
      <c r="DT139" s="335"/>
      <c r="DU139" s="335"/>
      <c r="DV139" s="335"/>
      <c r="DW139" s="335"/>
      <c r="DX139" s="335"/>
      <c r="DY139" s="335"/>
      <c r="DZ139" s="335"/>
      <c r="EA139" s="335"/>
      <c r="EB139" s="335"/>
      <c r="EC139" s="335"/>
      <c r="ED139" s="335"/>
      <c r="EE139" s="335"/>
      <c r="EF139" s="335"/>
      <c r="EG139" s="335"/>
      <c r="EH139" s="335"/>
      <c r="EI139" s="335"/>
      <c r="EJ139" s="335"/>
      <c r="EK139" s="335"/>
      <c r="EL139" s="335"/>
      <c r="EM139" s="335"/>
      <c r="EN139" s="335"/>
      <c r="EO139" s="335"/>
      <c r="EP139" s="335"/>
      <c r="EQ139" s="335"/>
      <c r="ER139" s="335"/>
      <c r="ES139" s="335"/>
      <c r="ET139" s="335"/>
      <c r="EU139" s="335"/>
      <c r="EV139" s="335"/>
      <c r="EW139" s="335"/>
      <c r="EX139" s="335"/>
      <c r="EY139" s="335"/>
      <c r="EZ139" s="335"/>
      <c r="FA139" s="335"/>
      <c r="FB139" s="335"/>
      <c r="FC139" s="335"/>
      <c r="FD139" s="335"/>
      <c r="FE139" s="335"/>
      <c r="FF139" s="335"/>
      <c r="FG139" s="335"/>
      <c r="FH139" s="335"/>
      <c r="FI139" s="335"/>
      <c r="FJ139" s="335"/>
      <c r="FK139" s="335"/>
      <c r="FL139" s="335"/>
      <c r="FM139" s="335"/>
      <c r="FN139" s="335"/>
      <c r="FO139" s="335"/>
      <c r="FP139" s="335"/>
      <c r="FQ139" s="335"/>
      <c r="FR139" s="335"/>
      <c r="FS139" s="335"/>
      <c r="FT139" s="335"/>
      <c r="FU139" s="335"/>
      <c r="FV139" s="335"/>
      <c r="FW139" s="335"/>
      <c r="FX139" s="335"/>
      <c r="FY139" s="335"/>
      <c r="FZ139" s="335"/>
      <c r="GA139" s="335"/>
      <c r="GB139" s="335"/>
      <c r="GC139" s="335"/>
      <c r="GD139" s="335"/>
      <c r="GE139" s="335"/>
      <c r="GF139" s="335"/>
      <c r="GG139" s="335"/>
      <c r="GH139" s="335"/>
      <c r="GI139" s="335"/>
      <c r="GJ139" s="335"/>
      <c r="GK139" s="335"/>
      <c r="GL139" s="335"/>
      <c r="GM139" s="335"/>
      <c r="GN139" s="335"/>
      <c r="GO139" s="335"/>
      <c r="GP139" s="335"/>
      <c r="GQ139" s="335"/>
      <c r="GR139" s="335"/>
      <c r="GS139" s="335"/>
      <c r="GT139" s="335"/>
      <c r="GU139" s="335"/>
      <c r="GV139" s="335"/>
      <c r="GW139" s="335"/>
      <c r="GX139" s="335"/>
      <c r="GY139" s="335"/>
      <c r="GZ139" s="335"/>
      <c r="HA139" s="335"/>
      <c r="HB139" s="335"/>
      <c r="HC139" s="335"/>
      <c r="HD139" s="335"/>
      <c r="HE139" s="335"/>
      <c r="HF139" s="335"/>
      <c r="HG139" s="335"/>
      <c r="HH139" s="335"/>
      <c r="HI139" s="335"/>
      <c r="HJ139" s="335"/>
      <c r="HK139" s="335"/>
      <c r="HL139" s="335"/>
      <c r="HM139" s="335"/>
      <c r="HN139" s="335"/>
      <c r="HO139" s="335"/>
      <c r="HP139" s="335"/>
      <c r="HQ139" s="335"/>
      <c r="HR139" s="335"/>
      <c r="HS139" s="335"/>
      <c r="HT139" s="335"/>
      <c r="HU139" s="335"/>
      <c r="HV139" s="335"/>
      <c r="HW139" s="335"/>
      <c r="HX139" s="335"/>
      <c r="HY139" s="335"/>
      <c r="HZ139" s="335"/>
      <c r="IA139" s="335"/>
      <c r="IB139" s="335"/>
      <c r="IC139" s="335"/>
      <c r="ID139" s="335"/>
      <c r="IE139" s="335"/>
      <c r="IF139" s="335"/>
      <c r="IG139" s="335"/>
      <c r="IH139" s="335"/>
      <c r="II139" s="335"/>
      <c r="IJ139" s="335"/>
      <c r="IK139" s="335"/>
      <c r="IL139" s="335"/>
      <c r="IM139" s="335"/>
      <c r="IN139" s="335"/>
      <c r="IO139" s="335"/>
      <c r="IP139" s="335"/>
      <c r="IQ139" s="335"/>
      <c r="IR139" s="335"/>
      <c r="IS139" s="335"/>
    </row>
    <row r="140" spans="1:253" ht="15" customHeight="1">
      <c r="A140" s="1010" t="s">
        <v>576</v>
      </c>
      <c r="B140" s="1011"/>
      <c r="C140" s="1011"/>
      <c r="D140" s="1011"/>
      <c r="E140" s="1011"/>
      <c r="F140" s="1011"/>
      <c r="G140" s="1011"/>
      <c r="H140" s="1011"/>
      <c r="I140" s="1012"/>
      <c r="J140" s="344"/>
      <c r="K140" s="344"/>
      <c r="L140" s="344"/>
      <c r="M140" s="344"/>
      <c r="N140" s="344"/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4"/>
      <c r="AB140" s="344"/>
      <c r="AC140" s="344"/>
      <c r="AD140" s="344"/>
      <c r="AE140" s="344"/>
      <c r="AF140" s="344"/>
      <c r="AG140" s="344"/>
      <c r="AH140" s="344"/>
      <c r="AI140" s="344"/>
      <c r="AJ140" s="344"/>
      <c r="AK140" s="344"/>
      <c r="AL140" s="344"/>
      <c r="AM140" s="344"/>
      <c r="AN140" s="344"/>
      <c r="AO140" s="344"/>
      <c r="AP140" s="344"/>
      <c r="AQ140" s="344"/>
      <c r="AR140" s="344"/>
      <c r="AS140" s="344"/>
      <c r="AT140" s="344"/>
      <c r="AU140" s="344"/>
      <c r="AV140" s="344"/>
      <c r="AW140" s="344"/>
      <c r="AX140" s="344"/>
      <c r="AY140" s="344"/>
      <c r="AZ140" s="344"/>
      <c r="BA140" s="344"/>
      <c r="BB140" s="344"/>
      <c r="BC140" s="344"/>
      <c r="BD140" s="344"/>
      <c r="BE140" s="344"/>
      <c r="BF140" s="344"/>
      <c r="BG140" s="344"/>
      <c r="BH140" s="344"/>
      <c r="BI140" s="344"/>
      <c r="BJ140" s="344"/>
      <c r="BK140" s="344"/>
      <c r="BL140" s="344"/>
      <c r="BM140" s="344"/>
      <c r="BN140" s="344"/>
      <c r="BO140" s="344"/>
      <c r="BP140" s="344"/>
      <c r="BQ140" s="344"/>
      <c r="BR140" s="344"/>
      <c r="BS140" s="344"/>
      <c r="BT140" s="344"/>
      <c r="BU140" s="344"/>
      <c r="BV140" s="344"/>
      <c r="BW140" s="344"/>
      <c r="BX140" s="344"/>
      <c r="BY140" s="344"/>
      <c r="BZ140" s="344"/>
      <c r="CA140" s="344"/>
      <c r="CB140" s="344"/>
      <c r="CC140" s="344"/>
      <c r="CD140" s="344"/>
      <c r="CE140" s="344"/>
      <c r="CF140" s="344"/>
      <c r="CG140" s="344"/>
      <c r="CH140" s="344"/>
      <c r="CI140" s="344"/>
      <c r="CJ140" s="344"/>
      <c r="CK140" s="344"/>
      <c r="CL140" s="344"/>
      <c r="CM140" s="344"/>
      <c r="CN140" s="344"/>
      <c r="CO140" s="344"/>
      <c r="CP140" s="344"/>
      <c r="CQ140" s="344"/>
      <c r="CR140" s="344"/>
      <c r="CS140" s="344"/>
      <c r="CT140" s="344"/>
      <c r="CU140" s="344"/>
      <c r="CV140" s="344"/>
      <c r="CW140" s="344"/>
      <c r="CX140" s="344"/>
      <c r="CY140" s="344"/>
      <c r="CZ140" s="344"/>
      <c r="DA140" s="344"/>
      <c r="DB140" s="344"/>
      <c r="DC140" s="344"/>
      <c r="DD140" s="344"/>
      <c r="DE140" s="344"/>
      <c r="DF140" s="344"/>
      <c r="DG140" s="344"/>
      <c r="DH140" s="344"/>
      <c r="DI140" s="344"/>
      <c r="DJ140" s="344"/>
      <c r="DK140" s="344"/>
      <c r="DL140" s="344"/>
      <c r="DM140" s="344"/>
      <c r="DN140" s="344"/>
      <c r="DO140" s="344"/>
      <c r="DP140" s="344"/>
      <c r="DQ140" s="344"/>
      <c r="DR140" s="344"/>
      <c r="DS140" s="344"/>
      <c r="DT140" s="344"/>
      <c r="DU140" s="344"/>
      <c r="DV140" s="344"/>
      <c r="DW140" s="344"/>
      <c r="DX140" s="344"/>
      <c r="DY140" s="344"/>
      <c r="DZ140" s="344"/>
      <c r="EA140" s="344"/>
      <c r="EB140" s="344"/>
      <c r="EC140" s="344"/>
      <c r="ED140" s="344"/>
      <c r="EE140" s="344"/>
      <c r="EF140" s="344"/>
      <c r="EG140" s="344"/>
      <c r="EH140" s="344"/>
      <c r="EI140" s="344"/>
      <c r="EJ140" s="344"/>
      <c r="EK140" s="344"/>
      <c r="EL140" s="344"/>
      <c r="EM140" s="344"/>
      <c r="EN140" s="344"/>
      <c r="EO140" s="344"/>
      <c r="EP140" s="344"/>
      <c r="EQ140" s="344"/>
      <c r="ER140" s="344"/>
      <c r="ES140" s="344"/>
      <c r="ET140" s="344"/>
      <c r="EU140" s="344"/>
      <c r="EV140" s="344"/>
      <c r="EW140" s="344"/>
      <c r="EX140" s="344"/>
      <c r="EY140" s="344"/>
      <c r="EZ140" s="344"/>
      <c r="FA140" s="344"/>
      <c r="FB140" s="344"/>
      <c r="FC140" s="344"/>
      <c r="FD140" s="344"/>
      <c r="FE140" s="344"/>
      <c r="FF140" s="344"/>
      <c r="FG140" s="344"/>
      <c r="FH140" s="344"/>
      <c r="FI140" s="344"/>
      <c r="FJ140" s="344"/>
      <c r="FK140" s="344"/>
      <c r="FL140" s="344"/>
      <c r="FM140" s="344"/>
      <c r="FN140" s="344"/>
      <c r="FO140" s="344"/>
      <c r="FP140" s="344"/>
      <c r="FQ140" s="344"/>
      <c r="FR140" s="344"/>
      <c r="FS140" s="344"/>
      <c r="FT140" s="344"/>
      <c r="FU140" s="344"/>
      <c r="FV140" s="344"/>
      <c r="FW140" s="344"/>
      <c r="FX140" s="344"/>
      <c r="FY140" s="344"/>
      <c r="FZ140" s="344"/>
      <c r="GA140" s="344"/>
      <c r="GB140" s="344"/>
      <c r="GC140" s="344"/>
      <c r="GD140" s="344"/>
      <c r="GE140" s="344"/>
      <c r="GF140" s="344"/>
      <c r="GG140" s="344"/>
      <c r="GH140" s="344"/>
      <c r="GI140" s="344"/>
      <c r="GJ140" s="344"/>
      <c r="GK140" s="344"/>
      <c r="GL140" s="344"/>
      <c r="GM140" s="344"/>
      <c r="GN140" s="344"/>
      <c r="GO140" s="344"/>
      <c r="GP140" s="344"/>
      <c r="GQ140" s="344"/>
      <c r="GR140" s="344"/>
      <c r="GS140" s="344"/>
      <c r="GT140" s="344"/>
      <c r="GU140" s="344"/>
      <c r="GV140" s="344"/>
      <c r="GW140" s="344"/>
      <c r="GX140" s="344"/>
      <c r="GY140" s="344"/>
      <c r="GZ140" s="344"/>
      <c r="HA140" s="344"/>
      <c r="HB140" s="344"/>
      <c r="HC140" s="344"/>
      <c r="HD140" s="344"/>
      <c r="HE140" s="344"/>
      <c r="HF140" s="344"/>
      <c r="HG140" s="344"/>
      <c r="HH140" s="344"/>
      <c r="HI140" s="344"/>
      <c r="HJ140" s="344"/>
      <c r="HK140" s="344"/>
      <c r="HL140" s="344"/>
      <c r="HM140" s="344"/>
      <c r="HN140" s="344"/>
      <c r="HO140" s="344"/>
      <c r="HP140" s="344"/>
      <c r="HQ140" s="344"/>
      <c r="HR140" s="344"/>
      <c r="HS140" s="344"/>
      <c r="HT140" s="344"/>
      <c r="HU140" s="344"/>
      <c r="HV140" s="344"/>
      <c r="HW140" s="344"/>
      <c r="HX140" s="344"/>
      <c r="HY140" s="344"/>
      <c r="HZ140" s="344"/>
      <c r="IA140" s="344"/>
      <c r="IB140" s="344"/>
      <c r="IC140" s="344"/>
      <c r="ID140" s="344"/>
      <c r="IE140" s="344"/>
      <c r="IF140" s="344"/>
      <c r="IG140" s="344"/>
      <c r="IH140" s="344"/>
      <c r="II140" s="344"/>
      <c r="IJ140" s="344"/>
      <c r="IK140" s="344"/>
      <c r="IL140" s="344"/>
      <c r="IM140" s="344"/>
      <c r="IN140" s="344"/>
      <c r="IO140" s="344"/>
      <c r="IP140" s="344"/>
      <c r="IQ140" s="344"/>
      <c r="IR140" s="344"/>
      <c r="IS140" s="344"/>
    </row>
    <row r="141" spans="1:253" ht="9.9499999999999993" customHeight="1">
      <c r="A141" s="1013"/>
      <c r="B141" s="1013"/>
      <c r="C141" s="1013"/>
      <c r="D141" s="1013"/>
      <c r="E141" s="1013"/>
      <c r="F141" s="1013"/>
      <c r="G141" s="1013"/>
      <c r="H141" s="1013"/>
      <c r="I141" s="1013"/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329"/>
      <c r="AU141" s="329"/>
      <c r="AV141" s="329"/>
      <c r="AW141" s="329"/>
      <c r="AX141" s="329"/>
      <c r="AY141" s="329"/>
      <c r="AZ141" s="329"/>
      <c r="BA141" s="329"/>
      <c r="BB141" s="329"/>
      <c r="BC141" s="329"/>
      <c r="BD141" s="329"/>
      <c r="BE141" s="329"/>
      <c r="BF141" s="329"/>
      <c r="BG141" s="329"/>
      <c r="BH141" s="329"/>
      <c r="BI141" s="329"/>
      <c r="BJ141" s="329"/>
      <c r="BK141" s="329"/>
      <c r="BL141" s="329"/>
      <c r="BM141" s="329"/>
      <c r="BN141" s="329"/>
      <c r="BO141" s="329"/>
      <c r="BP141" s="329"/>
      <c r="BQ141" s="329"/>
      <c r="BR141" s="329"/>
      <c r="BS141" s="329"/>
      <c r="BT141" s="329"/>
      <c r="BU141" s="329"/>
      <c r="BV141" s="329"/>
      <c r="BW141" s="329"/>
      <c r="BX141" s="329"/>
      <c r="BY141" s="329"/>
      <c r="BZ141" s="329"/>
      <c r="CA141" s="329"/>
      <c r="CB141" s="329"/>
      <c r="CC141" s="329"/>
      <c r="CD141" s="329"/>
      <c r="CE141" s="329"/>
      <c r="CF141" s="329"/>
      <c r="CG141" s="329"/>
      <c r="CH141" s="329"/>
      <c r="CI141" s="329"/>
      <c r="CJ141" s="329"/>
      <c r="CK141" s="329"/>
      <c r="CL141" s="329"/>
      <c r="CM141" s="329"/>
      <c r="CN141" s="329"/>
      <c r="CO141" s="329"/>
      <c r="CP141" s="329"/>
      <c r="CQ141" s="329"/>
      <c r="CR141" s="329"/>
      <c r="CS141" s="329"/>
      <c r="CT141" s="329"/>
      <c r="CU141" s="329"/>
      <c r="CV141" s="329"/>
      <c r="CW141" s="329"/>
      <c r="CX141" s="329"/>
      <c r="CY141" s="329"/>
      <c r="CZ141" s="329"/>
      <c r="DA141" s="329"/>
      <c r="DB141" s="329"/>
      <c r="DC141" s="329"/>
      <c r="DD141" s="329"/>
      <c r="DE141" s="329"/>
      <c r="DF141" s="329"/>
      <c r="DG141" s="329"/>
      <c r="DH141" s="329"/>
      <c r="DI141" s="329"/>
      <c r="DJ141" s="329"/>
      <c r="DK141" s="329"/>
      <c r="DL141" s="329"/>
      <c r="DM141" s="329"/>
      <c r="DN141" s="329"/>
      <c r="DO141" s="329"/>
      <c r="DP141" s="329"/>
      <c r="DQ141" s="329"/>
      <c r="DR141" s="329"/>
      <c r="DS141" s="329"/>
      <c r="DT141" s="329"/>
      <c r="DU141" s="329"/>
      <c r="DV141" s="329"/>
      <c r="DW141" s="329"/>
      <c r="DX141" s="329"/>
      <c r="DY141" s="329"/>
      <c r="DZ141" s="329"/>
      <c r="EA141" s="329"/>
      <c r="EB141" s="329"/>
      <c r="EC141" s="329"/>
      <c r="ED141" s="329"/>
      <c r="EE141" s="329"/>
      <c r="EF141" s="329"/>
      <c r="EG141" s="329"/>
      <c r="EH141" s="329"/>
      <c r="EI141" s="329"/>
      <c r="EJ141" s="329"/>
      <c r="EK141" s="329"/>
      <c r="EL141" s="329"/>
      <c r="EM141" s="329"/>
      <c r="EN141" s="329"/>
      <c r="EO141" s="329"/>
      <c r="EP141" s="329"/>
      <c r="EQ141" s="329"/>
      <c r="ER141" s="329"/>
      <c r="ES141" s="329"/>
      <c r="ET141" s="329"/>
      <c r="EU141" s="329"/>
      <c r="EV141" s="329"/>
      <c r="EW141" s="329"/>
      <c r="EX141" s="329"/>
      <c r="EY141" s="329"/>
      <c r="EZ141" s="329"/>
      <c r="FA141" s="329"/>
      <c r="FB141" s="329"/>
      <c r="FC141" s="329"/>
      <c r="FD141" s="329"/>
      <c r="FE141" s="329"/>
      <c r="FF141" s="329"/>
      <c r="FG141" s="329"/>
      <c r="FH141" s="329"/>
      <c r="FI141" s="329"/>
      <c r="FJ141" s="329"/>
      <c r="FK141" s="329"/>
      <c r="FL141" s="329"/>
      <c r="FM141" s="329"/>
      <c r="FN141" s="329"/>
      <c r="FO141" s="329"/>
      <c r="FP141" s="329"/>
      <c r="FQ141" s="329"/>
      <c r="FR141" s="329"/>
      <c r="FS141" s="329"/>
      <c r="FT141" s="329"/>
      <c r="FU141" s="329"/>
      <c r="FV141" s="329"/>
      <c r="FW141" s="329"/>
      <c r="FX141" s="329"/>
      <c r="FY141" s="329"/>
      <c r="FZ141" s="329"/>
      <c r="GA141" s="329"/>
      <c r="GB141" s="329"/>
      <c r="GC141" s="329"/>
      <c r="GD141" s="329"/>
      <c r="GE141" s="329"/>
      <c r="GF141" s="329"/>
      <c r="GG141" s="329"/>
      <c r="GH141" s="329"/>
      <c r="GI141" s="329"/>
      <c r="GJ141" s="329"/>
      <c r="GK141" s="329"/>
      <c r="GL141" s="329"/>
      <c r="GM141" s="329"/>
      <c r="GN141" s="329"/>
      <c r="GO141" s="329"/>
      <c r="GP141" s="329"/>
      <c r="GQ141" s="329"/>
      <c r="GR141" s="329"/>
      <c r="GS141" s="329"/>
      <c r="GT141" s="329"/>
      <c r="GU141" s="329"/>
      <c r="GV141" s="329"/>
      <c r="GW141" s="329"/>
      <c r="GX141" s="329"/>
      <c r="GY141" s="329"/>
      <c r="GZ141" s="329"/>
      <c r="HA141" s="329"/>
      <c r="HB141" s="329"/>
      <c r="HC141" s="329"/>
      <c r="HD141" s="329"/>
      <c r="HE141" s="329"/>
      <c r="HF141" s="329"/>
      <c r="HG141" s="329"/>
      <c r="HH141" s="329"/>
      <c r="HI141" s="329"/>
      <c r="HJ141" s="329"/>
      <c r="HK141" s="329"/>
      <c r="HL141" s="329"/>
      <c r="HM141" s="329"/>
      <c r="HN141" s="329"/>
      <c r="HO141" s="329"/>
      <c r="HP141" s="329"/>
      <c r="HQ141" s="329"/>
      <c r="HR141" s="329"/>
      <c r="HS141" s="329"/>
      <c r="HT141" s="329"/>
      <c r="HU141" s="329"/>
      <c r="HV141" s="329"/>
      <c r="HW141" s="329"/>
      <c r="HX141" s="329"/>
      <c r="HY141" s="329"/>
      <c r="HZ141" s="329"/>
      <c r="IA141" s="329"/>
      <c r="IB141" s="329"/>
      <c r="IC141" s="329"/>
      <c r="ID141" s="329"/>
      <c r="IE141" s="329"/>
      <c r="IF141" s="329"/>
      <c r="IG141" s="329"/>
      <c r="IH141" s="329"/>
      <c r="II141" s="329"/>
      <c r="IJ141" s="329"/>
      <c r="IK141" s="329"/>
      <c r="IL141" s="329"/>
      <c r="IM141" s="329"/>
      <c r="IN141" s="329"/>
      <c r="IO141" s="329"/>
      <c r="IP141" s="329"/>
      <c r="IQ141" s="329"/>
      <c r="IR141" s="329"/>
      <c r="IS141" s="329"/>
    </row>
    <row r="142" spans="1:253" ht="15" customHeight="1">
      <c r="A142" s="326" t="s">
        <v>421</v>
      </c>
      <c r="B142" s="326" t="s">
        <v>421</v>
      </c>
      <c r="C142" s="326" t="s">
        <v>421</v>
      </c>
      <c r="D142" s="326" t="s">
        <v>421</v>
      </c>
      <c r="E142" s="326" t="s">
        <v>421</v>
      </c>
      <c r="F142" s="342">
        <f>G142+H142</f>
        <v>8248000</v>
      </c>
      <c r="G142" s="342">
        <v>0</v>
      </c>
      <c r="H142" s="342">
        <v>8248000</v>
      </c>
      <c r="I142" s="326" t="s">
        <v>421</v>
      </c>
      <c r="J142" s="329"/>
      <c r="K142" s="329"/>
      <c r="L142" s="329"/>
      <c r="M142" s="329"/>
      <c r="N142" s="329"/>
      <c r="O142" s="329"/>
      <c r="P142" s="329"/>
      <c r="Q142" s="329"/>
      <c r="R142" s="329"/>
      <c r="S142" s="329"/>
      <c r="T142" s="329"/>
      <c r="U142" s="329"/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29"/>
      <c r="AF142" s="329"/>
      <c r="AG142" s="329"/>
      <c r="AH142" s="329"/>
      <c r="AI142" s="329"/>
      <c r="AJ142" s="329"/>
      <c r="AK142" s="329"/>
      <c r="AL142" s="329"/>
      <c r="AM142" s="329"/>
      <c r="AN142" s="329"/>
      <c r="AO142" s="329"/>
      <c r="AP142" s="329"/>
      <c r="AQ142" s="329"/>
      <c r="AR142" s="329"/>
      <c r="AS142" s="329"/>
      <c r="AT142" s="329"/>
      <c r="AU142" s="329"/>
      <c r="AV142" s="329"/>
      <c r="AW142" s="329"/>
      <c r="AX142" s="329"/>
      <c r="AY142" s="329"/>
      <c r="AZ142" s="329"/>
      <c r="BA142" s="329"/>
      <c r="BB142" s="329"/>
      <c r="BC142" s="329"/>
      <c r="BD142" s="329"/>
      <c r="BE142" s="329"/>
      <c r="BF142" s="329"/>
      <c r="BG142" s="329"/>
      <c r="BH142" s="329"/>
      <c r="BI142" s="329"/>
      <c r="BJ142" s="329"/>
      <c r="BK142" s="329"/>
      <c r="BL142" s="329"/>
      <c r="BM142" s="329"/>
      <c r="BN142" s="329"/>
      <c r="BO142" s="329"/>
      <c r="BP142" s="329"/>
      <c r="BQ142" s="329"/>
      <c r="BR142" s="329"/>
      <c r="BS142" s="329"/>
      <c r="BT142" s="329"/>
      <c r="BU142" s="329"/>
      <c r="BV142" s="329"/>
      <c r="BW142" s="329"/>
      <c r="BX142" s="329"/>
      <c r="BY142" s="329"/>
      <c r="BZ142" s="329"/>
      <c r="CA142" s="329"/>
      <c r="CB142" s="329"/>
      <c r="CC142" s="329"/>
      <c r="CD142" s="329"/>
      <c r="CE142" s="329"/>
      <c r="CF142" s="329"/>
      <c r="CG142" s="329"/>
      <c r="CH142" s="329"/>
      <c r="CI142" s="329"/>
      <c r="CJ142" s="329"/>
      <c r="CK142" s="329"/>
      <c r="CL142" s="329"/>
      <c r="CM142" s="329"/>
      <c r="CN142" s="329"/>
      <c r="CO142" s="329"/>
      <c r="CP142" s="329"/>
      <c r="CQ142" s="329"/>
      <c r="CR142" s="329"/>
      <c r="CS142" s="329"/>
      <c r="CT142" s="329"/>
      <c r="CU142" s="329"/>
      <c r="CV142" s="329"/>
      <c r="CW142" s="329"/>
      <c r="CX142" s="329"/>
      <c r="CY142" s="329"/>
      <c r="CZ142" s="329"/>
      <c r="DA142" s="329"/>
      <c r="DB142" s="329"/>
      <c r="DC142" s="329"/>
      <c r="DD142" s="329"/>
      <c r="DE142" s="329"/>
      <c r="DF142" s="329"/>
      <c r="DG142" s="329"/>
      <c r="DH142" s="329"/>
      <c r="DI142" s="329"/>
      <c r="DJ142" s="329"/>
      <c r="DK142" s="329"/>
      <c r="DL142" s="329"/>
      <c r="DM142" s="329"/>
      <c r="DN142" s="329"/>
      <c r="DO142" s="329"/>
      <c r="DP142" s="329"/>
      <c r="DQ142" s="329"/>
      <c r="DR142" s="329"/>
      <c r="DS142" s="329"/>
      <c r="DT142" s="329"/>
      <c r="DU142" s="329"/>
      <c r="DV142" s="329"/>
      <c r="DW142" s="329"/>
      <c r="DX142" s="329"/>
      <c r="DY142" s="329"/>
      <c r="DZ142" s="329"/>
      <c r="EA142" s="329"/>
      <c r="EB142" s="329"/>
      <c r="EC142" s="329"/>
      <c r="ED142" s="329"/>
      <c r="EE142" s="329"/>
      <c r="EF142" s="329"/>
      <c r="EG142" s="329"/>
      <c r="EH142" s="329"/>
      <c r="EI142" s="329"/>
      <c r="EJ142" s="329"/>
      <c r="EK142" s="329"/>
      <c r="EL142" s="329"/>
      <c r="EM142" s="329"/>
      <c r="EN142" s="329"/>
      <c r="EO142" s="329"/>
      <c r="EP142" s="329"/>
      <c r="EQ142" s="329"/>
      <c r="ER142" s="329"/>
      <c r="ES142" s="329"/>
      <c r="ET142" s="329"/>
      <c r="EU142" s="329"/>
      <c r="EV142" s="329"/>
      <c r="EW142" s="329"/>
      <c r="EX142" s="329"/>
      <c r="EY142" s="329"/>
      <c r="EZ142" s="329"/>
      <c r="FA142" s="329"/>
      <c r="FB142" s="329"/>
      <c r="FC142" s="329"/>
      <c r="FD142" s="329"/>
      <c r="FE142" s="329"/>
      <c r="FF142" s="329"/>
      <c r="FG142" s="329"/>
      <c r="FH142" s="329"/>
      <c r="FI142" s="329"/>
      <c r="FJ142" s="329"/>
      <c r="FK142" s="329"/>
      <c r="FL142" s="329"/>
      <c r="FM142" s="329"/>
      <c r="FN142" s="329"/>
      <c r="FO142" s="329"/>
      <c r="FP142" s="329"/>
      <c r="FQ142" s="329"/>
      <c r="FR142" s="329"/>
      <c r="FS142" s="329"/>
      <c r="FT142" s="329"/>
      <c r="FU142" s="329"/>
      <c r="FV142" s="329"/>
      <c r="FW142" s="329"/>
      <c r="FX142" s="329"/>
      <c r="FY142" s="329"/>
      <c r="FZ142" s="329"/>
      <c r="GA142" s="329"/>
      <c r="GB142" s="329"/>
      <c r="GC142" s="329"/>
      <c r="GD142" s="329"/>
      <c r="GE142" s="329"/>
      <c r="GF142" s="329"/>
      <c r="GG142" s="329"/>
      <c r="GH142" s="329"/>
      <c r="GI142" s="329"/>
      <c r="GJ142" s="329"/>
      <c r="GK142" s="329"/>
      <c r="GL142" s="329"/>
      <c r="GM142" s="329"/>
      <c r="GN142" s="329"/>
      <c r="GO142" s="329"/>
      <c r="GP142" s="329"/>
      <c r="GQ142" s="329"/>
      <c r="GR142" s="329"/>
      <c r="GS142" s="329"/>
      <c r="GT142" s="329"/>
      <c r="GU142" s="329"/>
      <c r="GV142" s="329"/>
      <c r="GW142" s="329"/>
      <c r="GX142" s="329"/>
      <c r="GY142" s="329"/>
      <c r="GZ142" s="329"/>
      <c r="HA142" s="329"/>
      <c r="HB142" s="329"/>
      <c r="HC142" s="329"/>
      <c r="HD142" s="329"/>
      <c r="HE142" s="329"/>
      <c r="HF142" s="329"/>
      <c r="HG142" s="329"/>
      <c r="HH142" s="329"/>
      <c r="HI142" s="329"/>
      <c r="HJ142" s="329"/>
      <c r="HK142" s="329"/>
      <c r="HL142" s="329"/>
      <c r="HM142" s="329"/>
      <c r="HN142" s="329"/>
      <c r="HO142" s="329"/>
      <c r="HP142" s="329"/>
      <c r="HQ142" s="329"/>
      <c r="HR142" s="329"/>
      <c r="HS142" s="329"/>
      <c r="HT142" s="329"/>
      <c r="HU142" s="329"/>
      <c r="HV142" s="329"/>
      <c r="HW142" s="329"/>
      <c r="HX142" s="329"/>
      <c r="HY142" s="329"/>
      <c r="HZ142" s="329"/>
      <c r="IA142" s="329"/>
      <c r="IB142" s="329"/>
      <c r="IC142" s="329"/>
      <c r="ID142" s="329"/>
      <c r="IE142" s="329"/>
      <c r="IF142" s="329"/>
      <c r="IG142" s="329"/>
      <c r="IH142" s="329"/>
      <c r="II142" s="329"/>
      <c r="IJ142" s="329"/>
      <c r="IK142" s="329"/>
      <c r="IL142" s="329"/>
      <c r="IM142" s="329"/>
      <c r="IN142" s="329"/>
      <c r="IO142" s="329"/>
      <c r="IP142" s="329"/>
      <c r="IQ142" s="329"/>
      <c r="IR142" s="329"/>
      <c r="IS142" s="329"/>
    </row>
    <row r="143" spans="1:253" ht="9.9499999999999993" customHeight="1">
      <c r="A143" s="1009"/>
      <c r="B143" s="1009"/>
      <c r="C143" s="1009"/>
      <c r="D143" s="1009"/>
      <c r="E143" s="1009"/>
      <c r="F143" s="1009"/>
      <c r="G143" s="1009"/>
      <c r="H143" s="1009"/>
      <c r="I143" s="1009"/>
      <c r="J143" s="335"/>
      <c r="K143" s="335"/>
      <c r="L143" s="335"/>
      <c r="M143" s="335"/>
      <c r="N143" s="335"/>
      <c r="O143" s="335"/>
      <c r="P143" s="335"/>
      <c r="Q143" s="335"/>
      <c r="R143" s="335"/>
      <c r="S143" s="335"/>
      <c r="T143" s="335"/>
      <c r="U143" s="335"/>
      <c r="V143" s="335"/>
      <c r="W143" s="335"/>
      <c r="X143" s="335"/>
      <c r="Y143" s="335"/>
      <c r="Z143" s="335"/>
      <c r="AA143" s="335"/>
      <c r="AB143" s="335"/>
      <c r="AC143" s="335"/>
      <c r="AD143" s="335"/>
      <c r="AE143" s="335"/>
      <c r="AF143" s="335"/>
      <c r="AG143" s="335"/>
      <c r="AH143" s="335"/>
      <c r="AI143" s="335"/>
      <c r="AJ143" s="335"/>
      <c r="AK143" s="335"/>
      <c r="AL143" s="335"/>
      <c r="AM143" s="335"/>
      <c r="AN143" s="335"/>
      <c r="AO143" s="335"/>
      <c r="AP143" s="335"/>
      <c r="AQ143" s="335"/>
      <c r="AR143" s="335"/>
      <c r="AS143" s="335"/>
      <c r="AT143" s="335"/>
      <c r="AU143" s="335"/>
      <c r="AV143" s="335"/>
      <c r="AW143" s="335"/>
      <c r="AX143" s="335"/>
      <c r="AY143" s="335"/>
      <c r="AZ143" s="335"/>
      <c r="BA143" s="335"/>
      <c r="BB143" s="335"/>
      <c r="BC143" s="335"/>
      <c r="BD143" s="335"/>
      <c r="BE143" s="335"/>
      <c r="BF143" s="335"/>
      <c r="BG143" s="335"/>
      <c r="BH143" s="335"/>
      <c r="BI143" s="335"/>
      <c r="BJ143" s="335"/>
      <c r="BK143" s="335"/>
      <c r="BL143" s="335"/>
      <c r="BM143" s="335"/>
      <c r="BN143" s="335"/>
      <c r="BO143" s="335"/>
      <c r="BP143" s="335"/>
      <c r="BQ143" s="335"/>
      <c r="BR143" s="335"/>
      <c r="BS143" s="335"/>
      <c r="BT143" s="335"/>
      <c r="BU143" s="335"/>
      <c r="BV143" s="335"/>
      <c r="BW143" s="335"/>
      <c r="BX143" s="335"/>
      <c r="BY143" s="335"/>
      <c r="BZ143" s="335"/>
      <c r="CA143" s="335"/>
      <c r="CB143" s="335"/>
      <c r="CC143" s="335"/>
      <c r="CD143" s="335"/>
      <c r="CE143" s="335"/>
      <c r="CF143" s="335"/>
      <c r="CG143" s="335"/>
      <c r="CH143" s="335"/>
      <c r="CI143" s="335"/>
      <c r="CJ143" s="335"/>
      <c r="CK143" s="335"/>
      <c r="CL143" s="335"/>
      <c r="CM143" s="335"/>
      <c r="CN143" s="335"/>
      <c r="CO143" s="335"/>
      <c r="CP143" s="335"/>
      <c r="CQ143" s="335"/>
      <c r="CR143" s="335"/>
      <c r="CS143" s="335"/>
      <c r="CT143" s="335"/>
      <c r="CU143" s="335"/>
      <c r="CV143" s="335"/>
      <c r="CW143" s="335"/>
      <c r="CX143" s="335"/>
      <c r="CY143" s="335"/>
      <c r="CZ143" s="335"/>
      <c r="DA143" s="335"/>
      <c r="DB143" s="335"/>
      <c r="DC143" s="335"/>
      <c r="DD143" s="335"/>
      <c r="DE143" s="335"/>
      <c r="DF143" s="335"/>
      <c r="DG143" s="335"/>
      <c r="DH143" s="335"/>
      <c r="DI143" s="335"/>
      <c r="DJ143" s="335"/>
      <c r="DK143" s="335"/>
      <c r="DL143" s="335"/>
      <c r="DM143" s="335"/>
      <c r="DN143" s="335"/>
      <c r="DO143" s="335"/>
      <c r="DP143" s="335"/>
      <c r="DQ143" s="335"/>
      <c r="DR143" s="335"/>
      <c r="DS143" s="335"/>
      <c r="DT143" s="335"/>
      <c r="DU143" s="335"/>
      <c r="DV143" s="335"/>
      <c r="DW143" s="335"/>
      <c r="DX143" s="335"/>
      <c r="DY143" s="335"/>
      <c r="DZ143" s="335"/>
      <c r="EA143" s="335"/>
      <c r="EB143" s="335"/>
      <c r="EC143" s="335"/>
      <c r="ED143" s="335"/>
      <c r="EE143" s="335"/>
      <c r="EF143" s="335"/>
      <c r="EG143" s="335"/>
      <c r="EH143" s="335"/>
      <c r="EI143" s="335"/>
      <c r="EJ143" s="335"/>
      <c r="EK143" s="335"/>
      <c r="EL143" s="335"/>
      <c r="EM143" s="335"/>
      <c r="EN143" s="335"/>
      <c r="EO143" s="335"/>
      <c r="EP143" s="335"/>
      <c r="EQ143" s="335"/>
      <c r="ER143" s="335"/>
      <c r="ES143" s="335"/>
      <c r="ET143" s="335"/>
      <c r="EU143" s="335"/>
      <c r="EV143" s="335"/>
      <c r="EW143" s="335"/>
      <c r="EX143" s="335"/>
      <c r="EY143" s="335"/>
      <c r="EZ143" s="335"/>
      <c r="FA143" s="335"/>
      <c r="FB143" s="335"/>
      <c r="FC143" s="335"/>
      <c r="FD143" s="335"/>
      <c r="FE143" s="335"/>
      <c r="FF143" s="335"/>
      <c r="FG143" s="335"/>
      <c r="FH143" s="335"/>
      <c r="FI143" s="335"/>
      <c r="FJ143" s="335"/>
      <c r="FK143" s="335"/>
      <c r="FL143" s="335"/>
      <c r="FM143" s="335"/>
      <c r="FN143" s="335"/>
      <c r="FO143" s="335"/>
      <c r="FP143" s="335"/>
      <c r="FQ143" s="335"/>
      <c r="FR143" s="335"/>
      <c r="FS143" s="335"/>
      <c r="FT143" s="335"/>
      <c r="FU143" s="335"/>
      <c r="FV143" s="335"/>
      <c r="FW143" s="335"/>
      <c r="FX143" s="335"/>
      <c r="FY143" s="335"/>
      <c r="FZ143" s="335"/>
      <c r="GA143" s="335"/>
      <c r="GB143" s="335"/>
      <c r="GC143" s="335"/>
      <c r="GD143" s="335"/>
      <c r="GE143" s="335"/>
      <c r="GF143" s="335"/>
      <c r="GG143" s="335"/>
      <c r="GH143" s="335"/>
      <c r="GI143" s="335"/>
      <c r="GJ143" s="335"/>
      <c r="GK143" s="335"/>
      <c r="GL143" s="335"/>
      <c r="GM143" s="335"/>
      <c r="GN143" s="335"/>
      <c r="GO143" s="335"/>
      <c r="GP143" s="335"/>
      <c r="GQ143" s="335"/>
      <c r="GR143" s="335"/>
      <c r="GS143" s="335"/>
      <c r="GT143" s="335"/>
      <c r="GU143" s="335"/>
      <c r="GV143" s="335"/>
      <c r="GW143" s="335"/>
      <c r="GX143" s="335"/>
      <c r="GY143" s="335"/>
      <c r="GZ143" s="335"/>
      <c r="HA143" s="335"/>
      <c r="HB143" s="335"/>
      <c r="HC143" s="335"/>
      <c r="HD143" s="335"/>
      <c r="HE143" s="335"/>
      <c r="HF143" s="335"/>
      <c r="HG143" s="335"/>
      <c r="HH143" s="335"/>
      <c r="HI143" s="335"/>
      <c r="HJ143" s="335"/>
      <c r="HK143" s="335"/>
      <c r="HL143" s="335"/>
      <c r="HM143" s="335"/>
      <c r="HN143" s="335"/>
      <c r="HO143" s="335"/>
      <c r="HP143" s="335"/>
      <c r="HQ143" s="335"/>
      <c r="HR143" s="335"/>
      <c r="HS143" s="335"/>
      <c r="HT143" s="335"/>
      <c r="HU143" s="335"/>
      <c r="HV143" s="335"/>
      <c r="HW143" s="335"/>
      <c r="HX143" s="335"/>
      <c r="HY143" s="335"/>
      <c r="HZ143" s="335"/>
      <c r="IA143" s="335"/>
      <c r="IB143" s="335"/>
      <c r="IC143" s="335"/>
      <c r="ID143" s="335"/>
      <c r="IE143" s="335"/>
      <c r="IF143" s="335"/>
      <c r="IG143" s="335"/>
      <c r="IH143" s="335"/>
      <c r="II143" s="335"/>
      <c r="IJ143" s="335"/>
      <c r="IK143" s="335"/>
      <c r="IL143" s="335"/>
      <c r="IM143" s="335"/>
      <c r="IN143" s="335"/>
      <c r="IO143" s="335"/>
      <c r="IP143" s="335"/>
      <c r="IQ143" s="335"/>
      <c r="IR143" s="335"/>
      <c r="IS143" s="335"/>
    </row>
    <row r="144" spans="1:253" ht="15" customHeight="1">
      <c r="A144" s="1010" t="s">
        <v>577</v>
      </c>
      <c r="B144" s="1011"/>
      <c r="C144" s="1011"/>
      <c r="D144" s="1011"/>
      <c r="E144" s="1011"/>
      <c r="F144" s="1011"/>
      <c r="G144" s="1011"/>
      <c r="H144" s="1011"/>
      <c r="I144" s="1012"/>
      <c r="J144" s="344"/>
      <c r="K144" s="344"/>
      <c r="L144" s="344"/>
      <c r="M144" s="344"/>
      <c r="N144" s="344"/>
      <c r="O144" s="344"/>
      <c r="P144" s="344"/>
      <c r="Q144" s="344"/>
      <c r="R144" s="344"/>
      <c r="S144" s="344"/>
      <c r="T144" s="344"/>
      <c r="U144" s="344"/>
      <c r="V144" s="344"/>
      <c r="W144" s="344"/>
      <c r="X144" s="344"/>
      <c r="Y144" s="344"/>
      <c r="Z144" s="344"/>
      <c r="AA144" s="344"/>
      <c r="AB144" s="344"/>
      <c r="AC144" s="344"/>
      <c r="AD144" s="344"/>
      <c r="AE144" s="344"/>
      <c r="AF144" s="344"/>
      <c r="AG144" s="344"/>
      <c r="AH144" s="344"/>
      <c r="AI144" s="344"/>
      <c r="AJ144" s="344"/>
      <c r="AK144" s="344"/>
      <c r="AL144" s="344"/>
      <c r="AM144" s="344"/>
      <c r="AN144" s="344"/>
      <c r="AO144" s="344"/>
      <c r="AP144" s="344"/>
      <c r="AQ144" s="344"/>
      <c r="AR144" s="344"/>
      <c r="AS144" s="344"/>
      <c r="AT144" s="344"/>
      <c r="AU144" s="344"/>
      <c r="AV144" s="344"/>
      <c r="AW144" s="344"/>
      <c r="AX144" s="344"/>
      <c r="AY144" s="344"/>
      <c r="AZ144" s="344"/>
      <c r="BA144" s="344"/>
      <c r="BB144" s="344"/>
      <c r="BC144" s="344"/>
      <c r="BD144" s="344"/>
      <c r="BE144" s="344"/>
      <c r="BF144" s="344"/>
      <c r="BG144" s="344"/>
      <c r="BH144" s="344"/>
      <c r="BI144" s="344"/>
      <c r="BJ144" s="344"/>
      <c r="BK144" s="344"/>
      <c r="BL144" s="344"/>
      <c r="BM144" s="344"/>
      <c r="BN144" s="344"/>
      <c r="BO144" s="344"/>
      <c r="BP144" s="344"/>
      <c r="BQ144" s="344"/>
      <c r="BR144" s="344"/>
      <c r="BS144" s="344"/>
      <c r="BT144" s="344"/>
      <c r="BU144" s="344"/>
      <c r="BV144" s="344"/>
      <c r="BW144" s="344"/>
      <c r="BX144" s="344"/>
      <c r="BY144" s="344"/>
      <c r="BZ144" s="344"/>
      <c r="CA144" s="344"/>
      <c r="CB144" s="344"/>
      <c r="CC144" s="344"/>
      <c r="CD144" s="344"/>
      <c r="CE144" s="344"/>
      <c r="CF144" s="344"/>
      <c r="CG144" s="344"/>
      <c r="CH144" s="344"/>
      <c r="CI144" s="344"/>
      <c r="CJ144" s="344"/>
      <c r="CK144" s="344"/>
      <c r="CL144" s="344"/>
      <c r="CM144" s="344"/>
      <c r="CN144" s="344"/>
      <c r="CO144" s="344"/>
      <c r="CP144" s="344"/>
      <c r="CQ144" s="344"/>
      <c r="CR144" s="344"/>
      <c r="CS144" s="344"/>
      <c r="CT144" s="344"/>
      <c r="CU144" s="344"/>
      <c r="CV144" s="344"/>
      <c r="CW144" s="344"/>
      <c r="CX144" s="344"/>
      <c r="CY144" s="344"/>
      <c r="CZ144" s="344"/>
      <c r="DA144" s="344"/>
      <c r="DB144" s="344"/>
      <c r="DC144" s="344"/>
      <c r="DD144" s="344"/>
      <c r="DE144" s="344"/>
      <c r="DF144" s="344"/>
      <c r="DG144" s="344"/>
      <c r="DH144" s="344"/>
      <c r="DI144" s="344"/>
      <c r="DJ144" s="344"/>
      <c r="DK144" s="344"/>
      <c r="DL144" s="344"/>
      <c r="DM144" s="344"/>
      <c r="DN144" s="344"/>
      <c r="DO144" s="344"/>
      <c r="DP144" s="344"/>
      <c r="DQ144" s="344"/>
      <c r="DR144" s="344"/>
      <c r="DS144" s="344"/>
      <c r="DT144" s="344"/>
      <c r="DU144" s="344"/>
      <c r="DV144" s="344"/>
      <c r="DW144" s="344"/>
      <c r="DX144" s="344"/>
      <c r="DY144" s="344"/>
      <c r="DZ144" s="344"/>
      <c r="EA144" s="344"/>
      <c r="EB144" s="344"/>
      <c r="EC144" s="344"/>
      <c r="ED144" s="344"/>
      <c r="EE144" s="344"/>
      <c r="EF144" s="344"/>
      <c r="EG144" s="344"/>
      <c r="EH144" s="344"/>
      <c r="EI144" s="344"/>
      <c r="EJ144" s="344"/>
      <c r="EK144" s="344"/>
      <c r="EL144" s="344"/>
      <c r="EM144" s="344"/>
      <c r="EN144" s="344"/>
      <c r="EO144" s="344"/>
      <c r="EP144" s="344"/>
      <c r="EQ144" s="344"/>
      <c r="ER144" s="344"/>
      <c r="ES144" s="344"/>
      <c r="ET144" s="344"/>
      <c r="EU144" s="344"/>
      <c r="EV144" s="344"/>
      <c r="EW144" s="344"/>
      <c r="EX144" s="344"/>
      <c r="EY144" s="344"/>
      <c r="EZ144" s="344"/>
      <c r="FA144" s="344"/>
      <c r="FB144" s="344"/>
      <c r="FC144" s="344"/>
      <c r="FD144" s="344"/>
      <c r="FE144" s="344"/>
      <c r="FF144" s="344"/>
      <c r="FG144" s="344"/>
      <c r="FH144" s="344"/>
      <c r="FI144" s="344"/>
      <c r="FJ144" s="344"/>
      <c r="FK144" s="344"/>
      <c r="FL144" s="344"/>
      <c r="FM144" s="344"/>
      <c r="FN144" s="344"/>
      <c r="FO144" s="344"/>
      <c r="FP144" s="344"/>
      <c r="FQ144" s="344"/>
      <c r="FR144" s="344"/>
      <c r="FS144" s="344"/>
      <c r="FT144" s="344"/>
      <c r="FU144" s="344"/>
      <c r="FV144" s="344"/>
      <c r="FW144" s="344"/>
      <c r="FX144" s="344"/>
      <c r="FY144" s="344"/>
      <c r="FZ144" s="344"/>
      <c r="GA144" s="344"/>
      <c r="GB144" s="344"/>
      <c r="GC144" s="344"/>
      <c r="GD144" s="344"/>
      <c r="GE144" s="344"/>
      <c r="GF144" s="344"/>
      <c r="GG144" s="344"/>
      <c r="GH144" s="344"/>
      <c r="GI144" s="344"/>
      <c r="GJ144" s="344"/>
      <c r="GK144" s="344"/>
      <c r="GL144" s="344"/>
      <c r="GM144" s="344"/>
      <c r="GN144" s="344"/>
      <c r="GO144" s="344"/>
      <c r="GP144" s="344"/>
      <c r="GQ144" s="344"/>
      <c r="GR144" s="344"/>
      <c r="GS144" s="344"/>
      <c r="GT144" s="344"/>
      <c r="GU144" s="344"/>
      <c r="GV144" s="344"/>
      <c r="GW144" s="344"/>
      <c r="GX144" s="344"/>
      <c r="GY144" s="344"/>
      <c r="GZ144" s="344"/>
      <c r="HA144" s="344"/>
      <c r="HB144" s="344"/>
      <c r="HC144" s="344"/>
      <c r="HD144" s="344"/>
      <c r="HE144" s="344"/>
      <c r="HF144" s="344"/>
      <c r="HG144" s="344"/>
      <c r="HH144" s="344"/>
      <c r="HI144" s="344"/>
      <c r="HJ144" s="344"/>
      <c r="HK144" s="344"/>
      <c r="HL144" s="344"/>
      <c r="HM144" s="344"/>
      <c r="HN144" s="344"/>
      <c r="HO144" s="344"/>
      <c r="HP144" s="344"/>
      <c r="HQ144" s="344"/>
      <c r="HR144" s="344"/>
      <c r="HS144" s="344"/>
      <c r="HT144" s="344"/>
      <c r="HU144" s="344"/>
      <c r="HV144" s="344"/>
      <c r="HW144" s="344"/>
      <c r="HX144" s="344"/>
      <c r="HY144" s="344"/>
      <c r="HZ144" s="344"/>
      <c r="IA144" s="344"/>
      <c r="IB144" s="344"/>
      <c r="IC144" s="344"/>
      <c r="ID144" s="344"/>
      <c r="IE144" s="344"/>
      <c r="IF144" s="344"/>
      <c r="IG144" s="344"/>
      <c r="IH144" s="344"/>
      <c r="II144" s="344"/>
      <c r="IJ144" s="344"/>
      <c r="IK144" s="344"/>
      <c r="IL144" s="344"/>
      <c r="IM144" s="344"/>
      <c r="IN144" s="344"/>
      <c r="IO144" s="344"/>
      <c r="IP144" s="344"/>
      <c r="IQ144" s="344"/>
      <c r="IR144" s="344"/>
      <c r="IS144" s="344"/>
    </row>
    <row r="145" spans="1:253" ht="9.9499999999999993" customHeight="1">
      <c r="A145" s="1013"/>
      <c r="B145" s="1013"/>
      <c r="C145" s="1013"/>
      <c r="D145" s="1013"/>
      <c r="E145" s="1013"/>
      <c r="F145" s="1013"/>
      <c r="G145" s="1013"/>
      <c r="H145" s="1013"/>
      <c r="I145" s="1013"/>
      <c r="J145" s="329"/>
      <c r="K145" s="329"/>
      <c r="L145" s="329"/>
      <c r="M145" s="329"/>
      <c r="N145" s="329"/>
      <c r="O145" s="329"/>
      <c r="P145" s="329"/>
      <c r="Q145" s="329"/>
      <c r="R145" s="329"/>
      <c r="S145" s="329"/>
      <c r="T145" s="329"/>
      <c r="U145" s="329"/>
      <c r="V145" s="329"/>
      <c r="W145" s="329"/>
      <c r="X145" s="329"/>
      <c r="Y145" s="329"/>
      <c r="Z145" s="329"/>
      <c r="AA145" s="329"/>
      <c r="AB145" s="329"/>
      <c r="AC145" s="329"/>
      <c r="AD145" s="329"/>
      <c r="AE145" s="329"/>
      <c r="AF145" s="329"/>
      <c r="AG145" s="329"/>
      <c r="AH145" s="329"/>
      <c r="AI145" s="329"/>
      <c r="AJ145" s="329"/>
      <c r="AK145" s="329"/>
      <c r="AL145" s="329"/>
      <c r="AM145" s="329"/>
      <c r="AN145" s="329"/>
      <c r="AO145" s="329"/>
      <c r="AP145" s="329"/>
      <c r="AQ145" s="329"/>
      <c r="AR145" s="329"/>
      <c r="AS145" s="329"/>
      <c r="AT145" s="329"/>
      <c r="AU145" s="329"/>
      <c r="AV145" s="329"/>
      <c r="AW145" s="329"/>
      <c r="AX145" s="329"/>
      <c r="AY145" s="329"/>
      <c r="AZ145" s="329"/>
      <c r="BA145" s="329"/>
      <c r="BB145" s="329"/>
      <c r="BC145" s="329"/>
      <c r="BD145" s="329"/>
      <c r="BE145" s="329"/>
      <c r="BF145" s="329"/>
      <c r="BG145" s="329"/>
      <c r="BH145" s="329"/>
      <c r="BI145" s="329"/>
      <c r="BJ145" s="329"/>
      <c r="BK145" s="329"/>
      <c r="BL145" s="329"/>
      <c r="BM145" s="329"/>
      <c r="BN145" s="329"/>
      <c r="BO145" s="329"/>
      <c r="BP145" s="329"/>
      <c r="BQ145" s="329"/>
      <c r="BR145" s="329"/>
      <c r="BS145" s="329"/>
      <c r="BT145" s="329"/>
      <c r="BU145" s="329"/>
      <c r="BV145" s="329"/>
      <c r="BW145" s="329"/>
      <c r="BX145" s="329"/>
      <c r="BY145" s="329"/>
      <c r="BZ145" s="329"/>
      <c r="CA145" s="329"/>
      <c r="CB145" s="329"/>
      <c r="CC145" s="329"/>
      <c r="CD145" s="329"/>
      <c r="CE145" s="329"/>
      <c r="CF145" s="329"/>
      <c r="CG145" s="329"/>
      <c r="CH145" s="329"/>
      <c r="CI145" s="329"/>
      <c r="CJ145" s="329"/>
      <c r="CK145" s="329"/>
      <c r="CL145" s="329"/>
      <c r="CM145" s="329"/>
      <c r="CN145" s="329"/>
      <c r="CO145" s="329"/>
      <c r="CP145" s="329"/>
      <c r="CQ145" s="329"/>
      <c r="CR145" s="329"/>
      <c r="CS145" s="329"/>
      <c r="CT145" s="329"/>
      <c r="CU145" s="329"/>
      <c r="CV145" s="329"/>
      <c r="CW145" s="329"/>
      <c r="CX145" s="329"/>
      <c r="CY145" s="329"/>
      <c r="CZ145" s="329"/>
      <c r="DA145" s="329"/>
      <c r="DB145" s="329"/>
      <c r="DC145" s="329"/>
      <c r="DD145" s="329"/>
      <c r="DE145" s="329"/>
      <c r="DF145" s="329"/>
      <c r="DG145" s="329"/>
      <c r="DH145" s="329"/>
      <c r="DI145" s="329"/>
      <c r="DJ145" s="329"/>
      <c r="DK145" s="329"/>
      <c r="DL145" s="329"/>
      <c r="DM145" s="329"/>
      <c r="DN145" s="329"/>
      <c r="DO145" s="329"/>
      <c r="DP145" s="329"/>
      <c r="DQ145" s="329"/>
      <c r="DR145" s="329"/>
      <c r="DS145" s="329"/>
      <c r="DT145" s="329"/>
      <c r="DU145" s="329"/>
      <c r="DV145" s="329"/>
      <c r="DW145" s="329"/>
      <c r="DX145" s="329"/>
      <c r="DY145" s="329"/>
      <c r="DZ145" s="329"/>
      <c r="EA145" s="329"/>
      <c r="EB145" s="329"/>
      <c r="EC145" s="329"/>
      <c r="ED145" s="329"/>
      <c r="EE145" s="329"/>
      <c r="EF145" s="329"/>
      <c r="EG145" s="329"/>
      <c r="EH145" s="329"/>
      <c r="EI145" s="329"/>
      <c r="EJ145" s="329"/>
      <c r="EK145" s="329"/>
      <c r="EL145" s="329"/>
      <c r="EM145" s="329"/>
      <c r="EN145" s="329"/>
      <c r="EO145" s="329"/>
      <c r="EP145" s="329"/>
      <c r="EQ145" s="329"/>
      <c r="ER145" s="329"/>
      <c r="ES145" s="329"/>
      <c r="ET145" s="329"/>
      <c r="EU145" s="329"/>
      <c r="EV145" s="329"/>
      <c r="EW145" s="329"/>
      <c r="EX145" s="329"/>
      <c r="EY145" s="329"/>
      <c r="EZ145" s="329"/>
      <c r="FA145" s="329"/>
      <c r="FB145" s="329"/>
      <c r="FC145" s="329"/>
      <c r="FD145" s="329"/>
      <c r="FE145" s="329"/>
      <c r="FF145" s="329"/>
      <c r="FG145" s="329"/>
      <c r="FH145" s="329"/>
      <c r="FI145" s="329"/>
      <c r="FJ145" s="329"/>
      <c r="FK145" s="329"/>
      <c r="FL145" s="329"/>
      <c r="FM145" s="329"/>
      <c r="FN145" s="329"/>
      <c r="FO145" s="329"/>
      <c r="FP145" s="329"/>
      <c r="FQ145" s="329"/>
      <c r="FR145" s="329"/>
      <c r="FS145" s="329"/>
      <c r="FT145" s="329"/>
      <c r="FU145" s="329"/>
      <c r="FV145" s="329"/>
      <c r="FW145" s="329"/>
      <c r="FX145" s="329"/>
      <c r="FY145" s="329"/>
      <c r="FZ145" s="329"/>
      <c r="GA145" s="329"/>
      <c r="GB145" s="329"/>
      <c r="GC145" s="329"/>
      <c r="GD145" s="329"/>
      <c r="GE145" s="329"/>
      <c r="GF145" s="329"/>
      <c r="GG145" s="329"/>
      <c r="GH145" s="329"/>
      <c r="GI145" s="329"/>
      <c r="GJ145" s="329"/>
      <c r="GK145" s="329"/>
      <c r="GL145" s="329"/>
      <c r="GM145" s="329"/>
      <c r="GN145" s="329"/>
      <c r="GO145" s="329"/>
      <c r="GP145" s="329"/>
      <c r="GQ145" s="329"/>
      <c r="GR145" s="329"/>
      <c r="GS145" s="329"/>
      <c r="GT145" s="329"/>
      <c r="GU145" s="329"/>
      <c r="GV145" s="329"/>
      <c r="GW145" s="329"/>
      <c r="GX145" s="329"/>
      <c r="GY145" s="329"/>
      <c r="GZ145" s="329"/>
      <c r="HA145" s="329"/>
      <c r="HB145" s="329"/>
      <c r="HC145" s="329"/>
      <c r="HD145" s="329"/>
      <c r="HE145" s="329"/>
      <c r="HF145" s="329"/>
      <c r="HG145" s="329"/>
      <c r="HH145" s="329"/>
      <c r="HI145" s="329"/>
      <c r="HJ145" s="329"/>
      <c r="HK145" s="329"/>
      <c r="HL145" s="329"/>
      <c r="HM145" s="329"/>
      <c r="HN145" s="329"/>
      <c r="HO145" s="329"/>
      <c r="HP145" s="329"/>
      <c r="HQ145" s="329"/>
      <c r="HR145" s="329"/>
      <c r="HS145" s="329"/>
      <c r="HT145" s="329"/>
      <c r="HU145" s="329"/>
      <c r="HV145" s="329"/>
      <c r="HW145" s="329"/>
      <c r="HX145" s="329"/>
      <c r="HY145" s="329"/>
      <c r="HZ145" s="329"/>
      <c r="IA145" s="329"/>
      <c r="IB145" s="329"/>
      <c r="IC145" s="329"/>
      <c r="ID145" s="329"/>
      <c r="IE145" s="329"/>
      <c r="IF145" s="329"/>
      <c r="IG145" s="329"/>
      <c r="IH145" s="329"/>
      <c r="II145" s="329"/>
      <c r="IJ145" s="329"/>
      <c r="IK145" s="329"/>
      <c r="IL145" s="329"/>
      <c r="IM145" s="329"/>
      <c r="IN145" s="329"/>
      <c r="IO145" s="329"/>
      <c r="IP145" s="329"/>
      <c r="IQ145" s="329"/>
      <c r="IR145" s="329"/>
      <c r="IS145" s="329"/>
    </row>
    <row r="146" spans="1:253" ht="15" customHeight="1">
      <c r="A146" s="326" t="s">
        <v>421</v>
      </c>
      <c r="B146" s="326" t="s">
        <v>421</v>
      </c>
      <c r="C146" s="326" t="s">
        <v>421</v>
      </c>
      <c r="D146" s="326" t="s">
        <v>421</v>
      </c>
      <c r="E146" s="326" t="s">
        <v>421</v>
      </c>
      <c r="F146" s="342">
        <f>G146+H146</f>
        <v>136112631</v>
      </c>
      <c r="G146" s="342">
        <v>7163504</v>
      </c>
      <c r="H146" s="342">
        <v>128949127</v>
      </c>
      <c r="I146" s="326" t="s">
        <v>421</v>
      </c>
      <c r="J146" s="329"/>
      <c r="K146" s="329"/>
      <c r="L146" s="329"/>
      <c r="M146" s="329"/>
      <c r="N146" s="329"/>
      <c r="O146" s="329"/>
      <c r="P146" s="329"/>
      <c r="Q146" s="329"/>
      <c r="R146" s="329"/>
      <c r="S146" s="329"/>
      <c r="T146" s="329"/>
      <c r="U146" s="329"/>
      <c r="V146" s="329"/>
      <c r="W146" s="329"/>
      <c r="X146" s="329"/>
      <c r="Y146" s="329"/>
      <c r="Z146" s="329"/>
      <c r="AA146" s="329"/>
      <c r="AB146" s="329"/>
      <c r="AC146" s="329"/>
      <c r="AD146" s="329"/>
      <c r="AE146" s="329"/>
      <c r="AF146" s="329"/>
      <c r="AG146" s="329"/>
      <c r="AH146" s="329"/>
      <c r="AI146" s="329"/>
      <c r="AJ146" s="329"/>
      <c r="AK146" s="329"/>
      <c r="AL146" s="329"/>
      <c r="AM146" s="329"/>
      <c r="AN146" s="329"/>
      <c r="AO146" s="329"/>
      <c r="AP146" s="329"/>
      <c r="AQ146" s="329"/>
      <c r="AR146" s="329"/>
      <c r="AS146" s="329"/>
      <c r="AT146" s="329"/>
      <c r="AU146" s="329"/>
      <c r="AV146" s="329"/>
      <c r="AW146" s="329"/>
      <c r="AX146" s="329"/>
      <c r="AY146" s="329"/>
      <c r="AZ146" s="329"/>
      <c r="BA146" s="329"/>
      <c r="BB146" s="329"/>
      <c r="BC146" s="329"/>
      <c r="BD146" s="329"/>
      <c r="BE146" s="329"/>
      <c r="BF146" s="329"/>
      <c r="BG146" s="329"/>
      <c r="BH146" s="329"/>
      <c r="BI146" s="329"/>
      <c r="BJ146" s="329"/>
      <c r="BK146" s="329"/>
      <c r="BL146" s="329"/>
      <c r="BM146" s="329"/>
      <c r="BN146" s="329"/>
      <c r="BO146" s="329"/>
      <c r="BP146" s="329"/>
      <c r="BQ146" s="329"/>
      <c r="BR146" s="329"/>
      <c r="BS146" s="329"/>
      <c r="BT146" s="329"/>
      <c r="BU146" s="329"/>
      <c r="BV146" s="329"/>
      <c r="BW146" s="329"/>
      <c r="BX146" s="329"/>
      <c r="BY146" s="329"/>
      <c r="BZ146" s="329"/>
      <c r="CA146" s="329"/>
      <c r="CB146" s="329"/>
      <c r="CC146" s="329"/>
      <c r="CD146" s="329"/>
      <c r="CE146" s="329"/>
      <c r="CF146" s="329"/>
      <c r="CG146" s="329"/>
      <c r="CH146" s="329"/>
      <c r="CI146" s="329"/>
      <c r="CJ146" s="329"/>
      <c r="CK146" s="329"/>
      <c r="CL146" s="329"/>
      <c r="CM146" s="329"/>
      <c r="CN146" s="329"/>
      <c r="CO146" s="329"/>
      <c r="CP146" s="329"/>
      <c r="CQ146" s="329"/>
      <c r="CR146" s="329"/>
      <c r="CS146" s="329"/>
      <c r="CT146" s="329"/>
      <c r="CU146" s="329"/>
      <c r="CV146" s="329"/>
      <c r="CW146" s="329"/>
      <c r="CX146" s="329"/>
      <c r="CY146" s="329"/>
      <c r="CZ146" s="329"/>
      <c r="DA146" s="329"/>
      <c r="DB146" s="329"/>
      <c r="DC146" s="329"/>
      <c r="DD146" s="329"/>
      <c r="DE146" s="329"/>
      <c r="DF146" s="329"/>
      <c r="DG146" s="329"/>
      <c r="DH146" s="329"/>
      <c r="DI146" s="329"/>
      <c r="DJ146" s="329"/>
      <c r="DK146" s="329"/>
      <c r="DL146" s="329"/>
      <c r="DM146" s="329"/>
      <c r="DN146" s="329"/>
      <c r="DO146" s="329"/>
      <c r="DP146" s="329"/>
      <c r="DQ146" s="329"/>
      <c r="DR146" s="329"/>
      <c r="DS146" s="329"/>
      <c r="DT146" s="329"/>
      <c r="DU146" s="329"/>
      <c r="DV146" s="329"/>
      <c r="DW146" s="329"/>
      <c r="DX146" s="329"/>
      <c r="DY146" s="329"/>
      <c r="DZ146" s="329"/>
      <c r="EA146" s="329"/>
      <c r="EB146" s="329"/>
      <c r="EC146" s="329"/>
      <c r="ED146" s="329"/>
      <c r="EE146" s="329"/>
      <c r="EF146" s="329"/>
      <c r="EG146" s="329"/>
      <c r="EH146" s="329"/>
      <c r="EI146" s="329"/>
      <c r="EJ146" s="329"/>
      <c r="EK146" s="329"/>
      <c r="EL146" s="329"/>
      <c r="EM146" s="329"/>
      <c r="EN146" s="329"/>
      <c r="EO146" s="329"/>
      <c r="EP146" s="329"/>
      <c r="EQ146" s="329"/>
      <c r="ER146" s="329"/>
      <c r="ES146" s="329"/>
      <c r="ET146" s="329"/>
      <c r="EU146" s="329"/>
      <c r="EV146" s="329"/>
      <c r="EW146" s="329"/>
      <c r="EX146" s="329"/>
      <c r="EY146" s="329"/>
      <c r="EZ146" s="329"/>
      <c r="FA146" s="329"/>
      <c r="FB146" s="329"/>
      <c r="FC146" s="329"/>
      <c r="FD146" s="329"/>
      <c r="FE146" s="329"/>
      <c r="FF146" s="329"/>
      <c r="FG146" s="329"/>
      <c r="FH146" s="329"/>
      <c r="FI146" s="329"/>
      <c r="FJ146" s="329"/>
      <c r="FK146" s="329"/>
      <c r="FL146" s="329"/>
      <c r="FM146" s="329"/>
      <c r="FN146" s="329"/>
      <c r="FO146" s="329"/>
      <c r="FP146" s="329"/>
      <c r="FQ146" s="329"/>
      <c r="FR146" s="329"/>
      <c r="FS146" s="329"/>
      <c r="FT146" s="329"/>
      <c r="FU146" s="329"/>
      <c r="FV146" s="329"/>
      <c r="FW146" s="329"/>
      <c r="FX146" s="329"/>
      <c r="FY146" s="329"/>
      <c r="FZ146" s="329"/>
      <c r="GA146" s="329"/>
      <c r="GB146" s="329"/>
      <c r="GC146" s="329"/>
      <c r="GD146" s="329"/>
      <c r="GE146" s="329"/>
      <c r="GF146" s="329"/>
      <c r="GG146" s="329"/>
      <c r="GH146" s="329"/>
      <c r="GI146" s="329"/>
      <c r="GJ146" s="329"/>
      <c r="GK146" s="329"/>
      <c r="GL146" s="329"/>
      <c r="GM146" s="329"/>
      <c r="GN146" s="329"/>
      <c r="GO146" s="329"/>
      <c r="GP146" s="329"/>
      <c r="GQ146" s="329"/>
      <c r="GR146" s="329"/>
      <c r="GS146" s="329"/>
      <c r="GT146" s="329"/>
      <c r="GU146" s="329"/>
      <c r="GV146" s="329"/>
      <c r="GW146" s="329"/>
      <c r="GX146" s="329"/>
      <c r="GY146" s="329"/>
      <c r="GZ146" s="329"/>
      <c r="HA146" s="329"/>
      <c r="HB146" s="329"/>
      <c r="HC146" s="329"/>
      <c r="HD146" s="329"/>
      <c r="HE146" s="329"/>
      <c r="HF146" s="329"/>
      <c r="HG146" s="329"/>
      <c r="HH146" s="329"/>
      <c r="HI146" s="329"/>
      <c r="HJ146" s="329"/>
      <c r="HK146" s="329"/>
      <c r="HL146" s="329"/>
      <c r="HM146" s="329"/>
      <c r="HN146" s="329"/>
      <c r="HO146" s="329"/>
      <c r="HP146" s="329"/>
      <c r="HQ146" s="329"/>
      <c r="HR146" s="329"/>
      <c r="HS146" s="329"/>
      <c r="HT146" s="329"/>
      <c r="HU146" s="329"/>
      <c r="HV146" s="329"/>
      <c r="HW146" s="329"/>
      <c r="HX146" s="329"/>
      <c r="HY146" s="329"/>
      <c r="HZ146" s="329"/>
      <c r="IA146" s="329"/>
      <c r="IB146" s="329"/>
      <c r="IC146" s="329"/>
      <c r="ID146" s="329"/>
      <c r="IE146" s="329"/>
      <c r="IF146" s="329"/>
      <c r="IG146" s="329"/>
      <c r="IH146" s="329"/>
      <c r="II146" s="329"/>
      <c r="IJ146" s="329"/>
      <c r="IK146" s="329"/>
      <c r="IL146" s="329"/>
      <c r="IM146" s="329"/>
      <c r="IN146" s="329"/>
      <c r="IO146" s="329"/>
      <c r="IP146" s="329"/>
      <c r="IQ146" s="329"/>
      <c r="IR146" s="329"/>
      <c r="IS146" s="329"/>
    </row>
    <row r="147" spans="1:253" ht="9.9499999999999993" customHeight="1">
      <c r="A147" s="1018"/>
      <c r="B147" s="1018"/>
      <c r="C147" s="1018"/>
      <c r="D147" s="1018"/>
      <c r="E147" s="1018"/>
      <c r="F147" s="1018"/>
      <c r="G147" s="1018"/>
      <c r="H147" s="1018"/>
      <c r="I147" s="1018"/>
      <c r="J147" s="329"/>
      <c r="K147" s="329"/>
      <c r="L147" s="329"/>
      <c r="M147" s="329"/>
      <c r="N147" s="329"/>
      <c r="O147" s="329"/>
      <c r="P147" s="329"/>
      <c r="Q147" s="329"/>
      <c r="R147" s="329"/>
      <c r="S147" s="329"/>
      <c r="T147" s="329"/>
      <c r="U147" s="329"/>
      <c r="V147" s="329"/>
      <c r="W147" s="329"/>
      <c r="X147" s="329"/>
      <c r="Y147" s="329"/>
      <c r="Z147" s="329"/>
      <c r="AA147" s="329"/>
      <c r="AB147" s="329"/>
      <c r="AC147" s="329"/>
      <c r="AD147" s="329"/>
      <c r="AE147" s="329"/>
      <c r="AF147" s="329"/>
      <c r="AG147" s="329"/>
      <c r="AH147" s="329"/>
      <c r="AI147" s="329"/>
      <c r="AJ147" s="329"/>
      <c r="AK147" s="329"/>
      <c r="AL147" s="329"/>
      <c r="AM147" s="329"/>
      <c r="AN147" s="329"/>
      <c r="AO147" s="329"/>
      <c r="AP147" s="329"/>
      <c r="AQ147" s="329"/>
      <c r="AR147" s="329"/>
      <c r="AS147" s="329"/>
      <c r="AT147" s="329"/>
      <c r="AU147" s="329"/>
      <c r="AV147" s="329"/>
      <c r="AW147" s="329"/>
      <c r="AX147" s="329"/>
      <c r="AY147" s="329"/>
      <c r="AZ147" s="329"/>
      <c r="BA147" s="329"/>
      <c r="BB147" s="329"/>
      <c r="BC147" s="329"/>
      <c r="BD147" s="329"/>
      <c r="BE147" s="329"/>
      <c r="BF147" s="329"/>
      <c r="BG147" s="329"/>
      <c r="BH147" s="329"/>
      <c r="BI147" s="329"/>
      <c r="BJ147" s="329"/>
      <c r="BK147" s="329"/>
      <c r="BL147" s="329"/>
      <c r="BM147" s="329"/>
      <c r="BN147" s="329"/>
      <c r="BO147" s="329"/>
      <c r="BP147" s="329"/>
      <c r="BQ147" s="329"/>
      <c r="BR147" s="329"/>
      <c r="BS147" s="329"/>
      <c r="BT147" s="329"/>
      <c r="BU147" s="329"/>
      <c r="BV147" s="329"/>
      <c r="BW147" s="329"/>
      <c r="BX147" s="329"/>
      <c r="BY147" s="329"/>
      <c r="BZ147" s="329"/>
      <c r="CA147" s="329"/>
      <c r="CB147" s="329"/>
      <c r="CC147" s="329"/>
      <c r="CD147" s="329"/>
      <c r="CE147" s="329"/>
      <c r="CF147" s="329"/>
      <c r="CG147" s="329"/>
      <c r="CH147" s="329"/>
      <c r="CI147" s="329"/>
      <c r="CJ147" s="329"/>
      <c r="CK147" s="329"/>
      <c r="CL147" s="329"/>
      <c r="CM147" s="329"/>
      <c r="CN147" s="329"/>
      <c r="CO147" s="329"/>
      <c r="CP147" s="329"/>
      <c r="CQ147" s="329"/>
      <c r="CR147" s="329"/>
      <c r="CS147" s="329"/>
      <c r="CT147" s="329"/>
      <c r="CU147" s="329"/>
      <c r="CV147" s="329"/>
      <c r="CW147" s="329"/>
      <c r="CX147" s="329"/>
      <c r="CY147" s="329"/>
      <c r="CZ147" s="329"/>
      <c r="DA147" s="329"/>
      <c r="DB147" s="329"/>
      <c r="DC147" s="329"/>
      <c r="DD147" s="329"/>
      <c r="DE147" s="329"/>
      <c r="DF147" s="329"/>
      <c r="DG147" s="329"/>
      <c r="DH147" s="329"/>
      <c r="DI147" s="329"/>
      <c r="DJ147" s="329"/>
      <c r="DK147" s="329"/>
      <c r="DL147" s="329"/>
      <c r="DM147" s="329"/>
      <c r="DN147" s="329"/>
      <c r="DO147" s="329"/>
      <c r="DP147" s="329"/>
      <c r="DQ147" s="329"/>
      <c r="DR147" s="329"/>
      <c r="DS147" s="329"/>
      <c r="DT147" s="329"/>
      <c r="DU147" s="329"/>
      <c r="DV147" s="329"/>
      <c r="DW147" s="329"/>
      <c r="DX147" s="329"/>
      <c r="DY147" s="329"/>
      <c r="DZ147" s="329"/>
      <c r="EA147" s="329"/>
      <c r="EB147" s="329"/>
      <c r="EC147" s="329"/>
      <c r="ED147" s="329"/>
      <c r="EE147" s="329"/>
      <c r="EF147" s="329"/>
      <c r="EG147" s="329"/>
      <c r="EH147" s="329"/>
      <c r="EI147" s="329"/>
      <c r="EJ147" s="329"/>
      <c r="EK147" s="329"/>
      <c r="EL147" s="329"/>
      <c r="EM147" s="329"/>
      <c r="EN147" s="329"/>
      <c r="EO147" s="329"/>
      <c r="EP147" s="329"/>
      <c r="EQ147" s="329"/>
      <c r="ER147" s="329"/>
      <c r="ES147" s="329"/>
      <c r="ET147" s="329"/>
      <c r="EU147" s="329"/>
      <c r="EV147" s="329"/>
      <c r="EW147" s="329"/>
      <c r="EX147" s="329"/>
      <c r="EY147" s="329"/>
      <c r="EZ147" s="329"/>
      <c r="FA147" s="329"/>
      <c r="FB147" s="329"/>
      <c r="FC147" s="329"/>
      <c r="FD147" s="329"/>
      <c r="FE147" s="329"/>
      <c r="FF147" s="329"/>
      <c r="FG147" s="329"/>
      <c r="FH147" s="329"/>
      <c r="FI147" s="329"/>
      <c r="FJ147" s="329"/>
      <c r="FK147" s="329"/>
      <c r="FL147" s="329"/>
      <c r="FM147" s="329"/>
      <c r="FN147" s="329"/>
      <c r="FO147" s="329"/>
      <c r="FP147" s="329"/>
      <c r="FQ147" s="329"/>
      <c r="FR147" s="329"/>
      <c r="FS147" s="329"/>
      <c r="FT147" s="329"/>
      <c r="FU147" s="329"/>
      <c r="FV147" s="329"/>
      <c r="FW147" s="329"/>
      <c r="FX147" s="329"/>
      <c r="FY147" s="329"/>
      <c r="FZ147" s="329"/>
      <c r="GA147" s="329"/>
      <c r="GB147" s="329"/>
      <c r="GC147" s="329"/>
      <c r="GD147" s="329"/>
      <c r="GE147" s="329"/>
      <c r="GF147" s="329"/>
      <c r="GG147" s="329"/>
      <c r="GH147" s="329"/>
      <c r="GI147" s="329"/>
      <c r="GJ147" s="329"/>
      <c r="GK147" s="329"/>
      <c r="GL147" s="329"/>
      <c r="GM147" s="329"/>
      <c r="GN147" s="329"/>
      <c r="GO147" s="329"/>
      <c r="GP147" s="329"/>
      <c r="GQ147" s="329"/>
      <c r="GR147" s="329"/>
      <c r="GS147" s="329"/>
      <c r="GT147" s="329"/>
      <c r="GU147" s="329"/>
      <c r="GV147" s="329"/>
      <c r="GW147" s="329"/>
      <c r="GX147" s="329"/>
      <c r="GY147" s="329"/>
      <c r="GZ147" s="329"/>
      <c r="HA147" s="329"/>
      <c r="HB147" s="329"/>
      <c r="HC147" s="329"/>
      <c r="HD147" s="329"/>
      <c r="HE147" s="329"/>
      <c r="HF147" s="329"/>
      <c r="HG147" s="329"/>
      <c r="HH147" s="329"/>
      <c r="HI147" s="329"/>
      <c r="HJ147" s="329"/>
      <c r="HK147" s="329"/>
      <c r="HL147" s="329"/>
      <c r="HM147" s="329"/>
      <c r="HN147" s="329"/>
      <c r="HO147" s="329"/>
      <c r="HP147" s="329"/>
      <c r="HQ147" s="329"/>
      <c r="HR147" s="329"/>
      <c r="HS147" s="329"/>
      <c r="HT147" s="329"/>
      <c r="HU147" s="329"/>
      <c r="HV147" s="329"/>
      <c r="HW147" s="329"/>
      <c r="HX147" s="329"/>
      <c r="HY147" s="329"/>
      <c r="HZ147" s="329"/>
      <c r="IA147" s="329"/>
      <c r="IB147" s="329"/>
      <c r="IC147" s="329"/>
      <c r="ID147" s="329"/>
      <c r="IE147" s="329"/>
      <c r="IF147" s="329"/>
      <c r="IG147" s="329"/>
      <c r="IH147" s="329"/>
      <c r="II147" s="329"/>
      <c r="IJ147" s="329"/>
      <c r="IK147" s="329"/>
      <c r="IL147" s="329"/>
      <c r="IM147" s="329"/>
      <c r="IN147" s="329"/>
      <c r="IO147" s="329"/>
      <c r="IP147" s="329"/>
      <c r="IQ147" s="329"/>
      <c r="IR147" s="329"/>
      <c r="IS147" s="329"/>
    </row>
    <row r="148" spans="1:253" ht="17.25">
      <c r="A148" s="1015" t="s">
        <v>316</v>
      </c>
      <c r="B148" s="1016"/>
      <c r="C148" s="316" t="s">
        <v>421</v>
      </c>
      <c r="D148" s="316" t="s">
        <v>421</v>
      </c>
      <c r="E148" s="316" t="s">
        <v>421</v>
      </c>
      <c r="F148" s="318">
        <f>F14</f>
        <v>628517911</v>
      </c>
      <c r="G148" s="318">
        <f>G14</f>
        <v>422413289</v>
      </c>
      <c r="H148" s="318">
        <f>H14</f>
        <v>206104622</v>
      </c>
      <c r="I148" s="340" t="s">
        <v>421</v>
      </c>
      <c r="J148" s="319"/>
      <c r="K148" s="319"/>
      <c r="L148" s="319"/>
      <c r="M148" s="319"/>
      <c r="N148" s="319"/>
      <c r="O148" s="319"/>
      <c r="P148" s="319"/>
      <c r="Q148" s="319"/>
      <c r="R148" s="319"/>
      <c r="S148" s="319"/>
      <c r="T148" s="319"/>
      <c r="U148" s="319"/>
      <c r="V148" s="319"/>
      <c r="W148" s="319"/>
      <c r="X148" s="319"/>
      <c r="Y148" s="319"/>
      <c r="Z148" s="319"/>
      <c r="AA148" s="319"/>
      <c r="AB148" s="319"/>
      <c r="AC148" s="319"/>
      <c r="AD148" s="319"/>
      <c r="AE148" s="319"/>
      <c r="AF148" s="319"/>
      <c r="AG148" s="319"/>
      <c r="AH148" s="319"/>
      <c r="AI148" s="319"/>
      <c r="AJ148" s="319"/>
      <c r="AK148" s="319"/>
      <c r="AL148" s="319"/>
      <c r="AM148" s="319"/>
      <c r="AN148" s="319"/>
      <c r="AO148" s="319"/>
      <c r="AP148" s="319"/>
      <c r="AQ148" s="319"/>
      <c r="AR148" s="319"/>
      <c r="AS148" s="319"/>
      <c r="AT148" s="319"/>
      <c r="AU148" s="319"/>
      <c r="AV148" s="319"/>
      <c r="AW148" s="319"/>
      <c r="AX148" s="319"/>
      <c r="AY148" s="319"/>
      <c r="AZ148" s="319"/>
      <c r="BA148" s="319"/>
      <c r="BB148" s="319"/>
      <c r="BC148" s="319"/>
      <c r="BD148" s="319"/>
      <c r="BE148" s="319"/>
      <c r="BF148" s="319"/>
      <c r="BG148" s="319"/>
      <c r="BH148" s="319"/>
      <c r="BI148" s="319"/>
      <c r="BJ148" s="319"/>
      <c r="BK148" s="319"/>
      <c r="BL148" s="319"/>
      <c r="BM148" s="319"/>
      <c r="BN148" s="319"/>
      <c r="BO148" s="319"/>
      <c r="BP148" s="319"/>
      <c r="BQ148" s="319"/>
      <c r="BR148" s="319"/>
      <c r="BS148" s="319"/>
      <c r="BT148" s="319"/>
      <c r="BU148" s="319"/>
      <c r="BV148" s="319"/>
      <c r="BW148" s="319"/>
      <c r="BX148" s="319"/>
      <c r="BY148" s="319"/>
      <c r="BZ148" s="319"/>
      <c r="CA148" s="319"/>
      <c r="CB148" s="319"/>
      <c r="CC148" s="319"/>
      <c r="CD148" s="319"/>
      <c r="CE148" s="319"/>
      <c r="CF148" s="319"/>
      <c r="CG148" s="319"/>
      <c r="CH148" s="319"/>
      <c r="CI148" s="319"/>
      <c r="CJ148" s="319"/>
      <c r="CK148" s="319"/>
      <c r="CL148" s="319"/>
      <c r="CM148" s="319"/>
      <c r="CN148" s="319"/>
      <c r="CO148" s="319"/>
      <c r="CP148" s="319"/>
      <c r="CQ148" s="319"/>
      <c r="CR148" s="319"/>
      <c r="CS148" s="319"/>
      <c r="CT148" s="319"/>
      <c r="CU148" s="319"/>
      <c r="CV148" s="319"/>
      <c r="CW148" s="319"/>
      <c r="CX148" s="319"/>
      <c r="CY148" s="319"/>
      <c r="CZ148" s="319"/>
      <c r="DA148" s="319"/>
      <c r="DB148" s="319"/>
      <c r="DC148" s="319"/>
      <c r="DD148" s="319"/>
      <c r="DE148" s="319"/>
      <c r="DF148" s="319"/>
      <c r="DG148" s="319"/>
      <c r="DH148" s="319"/>
      <c r="DI148" s="319"/>
      <c r="DJ148" s="319"/>
      <c r="DK148" s="319"/>
      <c r="DL148" s="319"/>
      <c r="DM148" s="319"/>
      <c r="DN148" s="319"/>
      <c r="DO148" s="319"/>
      <c r="DP148" s="319"/>
      <c r="DQ148" s="319"/>
      <c r="DR148" s="319"/>
      <c r="DS148" s="319"/>
      <c r="DT148" s="319"/>
      <c r="DU148" s="319"/>
      <c r="DV148" s="319"/>
      <c r="DW148" s="319"/>
      <c r="DX148" s="319"/>
      <c r="DY148" s="319"/>
      <c r="DZ148" s="319"/>
      <c r="EA148" s="319"/>
      <c r="EB148" s="319"/>
      <c r="EC148" s="319"/>
      <c r="ED148" s="319"/>
      <c r="EE148" s="319"/>
      <c r="EF148" s="319"/>
      <c r="EG148" s="319"/>
      <c r="EH148" s="319"/>
      <c r="EI148" s="319"/>
      <c r="EJ148" s="319"/>
      <c r="EK148" s="319"/>
      <c r="EL148" s="319"/>
      <c r="EM148" s="319"/>
      <c r="EN148" s="319"/>
      <c r="EO148" s="319"/>
      <c r="EP148" s="319"/>
      <c r="EQ148" s="319"/>
      <c r="ER148" s="319"/>
      <c r="ES148" s="319"/>
      <c r="ET148" s="319"/>
      <c r="EU148" s="319"/>
      <c r="EV148" s="319"/>
      <c r="EW148" s="319"/>
      <c r="EX148" s="319"/>
      <c r="EY148" s="319"/>
      <c r="EZ148" s="319"/>
      <c r="FA148" s="319"/>
      <c r="FB148" s="319"/>
      <c r="FC148" s="319"/>
      <c r="FD148" s="319"/>
      <c r="FE148" s="319"/>
      <c r="FF148" s="319"/>
      <c r="FG148" s="319"/>
      <c r="FH148" s="319"/>
      <c r="FI148" s="319"/>
      <c r="FJ148" s="319"/>
      <c r="FK148" s="319"/>
      <c r="FL148" s="319"/>
      <c r="FM148" s="319"/>
      <c r="FN148" s="319"/>
      <c r="FO148" s="319"/>
      <c r="FP148" s="319"/>
      <c r="FQ148" s="319"/>
      <c r="FR148" s="319"/>
      <c r="FS148" s="319"/>
      <c r="FT148" s="319"/>
      <c r="FU148" s="319"/>
      <c r="FV148" s="319"/>
      <c r="FW148" s="319"/>
      <c r="FX148" s="319"/>
      <c r="FY148" s="319"/>
      <c r="FZ148" s="319"/>
      <c r="GA148" s="319"/>
      <c r="GB148" s="319"/>
      <c r="GC148" s="319"/>
      <c r="GD148" s="319"/>
      <c r="GE148" s="319"/>
      <c r="GF148" s="319"/>
      <c r="GG148" s="319"/>
      <c r="GH148" s="319"/>
      <c r="GI148" s="319"/>
      <c r="GJ148" s="319"/>
      <c r="GK148" s="319"/>
      <c r="GL148" s="319"/>
      <c r="GM148" s="319"/>
      <c r="GN148" s="319"/>
      <c r="GO148" s="319"/>
      <c r="GP148" s="319"/>
      <c r="GQ148" s="319"/>
      <c r="GR148" s="319"/>
      <c r="GS148" s="319"/>
      <c r="GT148" s="319"/>
      <c r="GU148" s="319"/>
      <c r="GV148" s="319"/>
      <c r="GW148" s="319"/>
      <c r="GX148" s="319"/>
      <c r="GY148" s="319"/>
      <c r="GZ148" s="319"/>
      <c r="HA148" s="319"/>
      <c r="HB148" s="319"/>
      <c r="HC148" s="319"/>
      <c r="HD148" s="319"/>
      <c r="HE148" s="319"/>
      <c r="HF148" s="319"/>
      <c r="HG148" s="319"/>
      <c r="HH148" s="319"/>
      <c r="HI148" s="319"/>
      <c r="HJ148" s="319"/>
      <c r="HK148" s="319"/>
      <c r="HL148" s="319"/>
      <c r="HM148" s="319"/>
      <c r="HN148" s="319"/>
      <c r="HO148" s="319"/>
      <c r="HP148" s="319"/>
      <c r="HQ148" s="319"/>
      <c r="HR148" s="319"/>
      <c r="HS148" s="319"/>
      <c r="HT148" s="319"/>
      <c r="HU148" s="319"/>
      <c r="HV148" s="319"/>
      <c r="HW148" s="319"/>
      <c r="HX148" s="319"/>
      <c r="HY148" s="319"/>
      <c r="HZ148" s="319"/>
      <c r="IA148" s="319"/>
      <c r="IB148" s="319"/>
      <c r="IC148" s="319"/>
      <c r="ID148" s="319"/>
      <c r="IE148" s="319"/>
      <c r="IF148" s="319"/>
      <c r="IG148" s="319"/>
      <c r="IH148" s="319"/>
      <c r="II148" s="319"/>
      <c r="IJ148" s="319"/>
      <c r="IK148" s="319"/>
      <c r="IL148" s="319"/>
      <c r="IM148" s="319"/>
      <c r="IN148" s="319"/>
      <c r="IO148" s="319"/>
      <c r="IP148" s="319"/>
      <c r="IQ148" s="319"/>
      <c r="IR148" s="319"/>
      <c r="IS148" s="319"/>
    </row>
  </sheetData>
  <sheetProtection algorithmName="SHA-512" hashValue="KekgJn137GOXMxz2e9iMxf+lvafGKg54YagPEjE5+/xsoWPW2jwRmiD1pk8uGWuEWmnUS7b97102hxQCeaO+TQ==" saltValue="tHRk2MQ1NPHUef3PucctnA==" spinCount="100000" sheet="1" objects="1" scenarios="1"/>
  <mergeCells count="29">
    <mergeCell ref="A143:I143"/>
    <mergeCell ref="A144:I144"/>
    <mergeCell ref="A145:I145"/>
    <mergeCell ref="A147:I147"/>
    <mergeCell ref="A148:B148"/>
    <mergeCell ref="A139:I139"/>
    <mergeCell ref="A140:I140"/>
    <mergeCell ref="A141:I141"/>
    <mergeCell ref="F9:F11"/>
    <mergeCell ref="G9:H9"/>
    <mergeCell ref="G10:G11"/>
    <mergeCell ref="H10:H11"/>
    <mergeCell ref="A16:I16"/>
    <mergeCell ref="A77:B77"/>
    <mergeCell ref="A78:I78"/>
    <mergeCell ref="A79:I79"/>
    <mergeCell ref="A138:B138"/>
    <mergeCell ref="F1:H1"/>
    <mergeCell ref="A5:I5"/>
    <mergeCell ref="A6:I6"/>
    <mergeCell ref="A8:A11"/>
    <mergeCell ref="B8:B11"/>
    <mergeCell ref="C8:C11"/>
    <mergeCell ref="D8:D11"/>
    <mergeCell ref="E8:E11"/>
    <mergeCell ref="F8:H8"/>
    <mergeCell ref="I8:I11"/>
    <mergeCell ref="F2:H2"/>
    <mergeCell ref="F3:H3"/>
  </mergeCells>
  <printOptions horizontalCentered="1"/>
  <pageMargins left="0.74803149606299213" right="0.74803149606299213" top="0.98425196850393704" bottom="0.74803149606299213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19</vt:i4>
      </vt:variant>
    </vt:vector>
  </HeadingPairs>
  <TitlesOfParts>
    <vt:vector size="35" baseType="lpstr">
      <vt:lpstr>zał.1</vt:lpstr>
      <vt:lpstr>zał.2</vt:lpstr>
      <vt:lpstr>zał.3 </vt:lpstr>
      <vt:lpstr>zał.4 </vt:lpstr>
      <vt:lpstr>zał.5</vt:lpstr>
      <vt:lpstr>zał.6</vt:lpstr>
      <vt:lpstr>zał.7</vt:lpstr>
      <vt:lpstr>zał.8</vt:lpstr>
      <vt:lpstr>zał.9</vt:lpstr>
      <vt:lpstr>zał.10</vt:lpstr>
      <vt:lpstr>zał.11</vt:lpstr>
      <vt:lpstr>zał.12A</vt:lpstr>
      <vt:lpstr>zał.12B</vt:lpstr>
      <vt:lpstr>zał.13</vt:lpstr>
      <vt:lpstr>zał.14</vt:lpstr>
      <vt:lpstr>zał.15</vt:lpstr>
      <vt:lpstr>zał.1!Obszar_wydruku</vt:lpstr>
      <vt:lpstr>zał.11!Obszar_wydruku</vt:lpstr>
      <vt:lpstr>zał.2!Obszar_wydruku</vt:lpstr>
      <vt:lpstr>'zał.4 '!Obszar_wydruku</vt:lpstr>
      <vt:lpstr>zał.5!Obszar_wydruku</vt:lpstr>
      <vt:lpstr>zał.1!Tytuły_wydruku</vt:lpstr>
      <vt:lpstr>zał.10!Tytuły_wydruku</vt:lpstr>
      <vt:lpstr>zał.11!Tytuły_wydruku</vt:lpstr>
      <vt:lpstr>zał.12A!Tytuły_wydruku</vt:lpstr>
      <vt:lpstr>zał.13!Tytuły_wydruku</vt:lpstr>
      <vt:lpstr>zał.14!Tytuły_wydruku</vt:lpstr>
      <vt:lpstr>zał.15!Tytuły_wydruku</vt:lpstr>
      <vt:lpstr>zał.2!Tytuły_wydruku</vt:lpstr>
      <vt:lpstr>'zał.3 '!Tytuły_wydruku</vt:lpstr>
      <vt:lpstr>'zał.4 '!Tytuły_wydruku</vt:lpstr>
      <vt:lpstr>zał.6!Tytuły_wydruku</vt:lpstr>
      <vt:lpstr>zał.7!Tytuły_wydruku</vt:lpstr>
      <vt:lpstr>zał.8!Tytuły_wydruku</vt:lpstr>
      <vt:lpstr>zał.9!Tytuły_wydruku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b.bulak</dc:creator>
  <cp:lastModifiedBy>Krzysztof Ryszewski</cp:lastModifiedBy>
  <cp:lastPrinted>2023-11-09T11:13:15Z</cp:lastPrinted>
  <dcterms:created xsi:type="dcterms:W3CDTF">2010-11-02T12:16:55Z</dcterms:created>
  <dcterms:modified xsi:type="dcterms:W3CDTF">2023-12-05T09:13:50Z</dcterms:modified>
</cp:coreProperties>
</file>