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tabRatio="889" activeTab="13"/>
  </bookViews>
  <sheets>
    <sheet name="zał.1" sheetId="1" r:id="rId1"/>
    <sheet name="zał.2  " sheetId="2" r:id="rId2"/>
    <sheet name="zał.3 " sheetId="3" r:id="rId3"/>
    <sheet name="zał.4" sheetId="4" r:id="rId4"/>
    <sheet name="zał.5" sheetId="5" r:id="rId5"/>
    <sheet name="zał.6" sheetId="6" r:id="rId6"/>
    <sheet name="zał.7" sheetId="7" r:id="rId7"/>
    <sheet name="zał.8 " sheetId="8" r:id="rId8"/>
    <sheet name="zał.9" sheetId="9" r:id="rId9"/>
    <sheet name="zał.10A" sheetId="10" r:id="rId10"/>
    <sheet name="zał.10B" sheetId="11" r:id="rId11"/>
    <sheet name="zał.11" sheetId="12" r:id="rId12"/>
    <sheet name="zał.12" sheetId="13" r:id="rId13"/>
    <sheet name="zał.13" sheetId="14" r:id="rId14"/>
  </sheets>
  <definedNames>
    <definedName name="_xlnm.Print_Area" localSheetId="0">'zał.1'!$A$1:$P$46</definedName>
    <definedName name="_xlnm.Print_Area" localSheetId="12">'zał.12'!$A$1:$F$40</definedName>
    <definedName name="_xlnm.Print_Area" localSheetId="1">'zał.2  '!$A$1:$D$254</definedName>
    <definedName name="_xlnm.Print_Area" localSheetId="4">'zał.5'!$A$1:$D$55</definedName>
    <definedName name="_xlnm.Print_Area" localSheetId="7">'zał.8 '!$A$1:$K$95</definedName>
    <definedName name="_xlnm.Print_Titles" localSheetId="0">'zał.1'!$7:$11</definedName>
    <definedName name="_xlnm.Print_Titles" localSheetId="9">'zał.10A'!$8:$10</definedName>
    <definedName name="_xlnm.Print_Titles" localSheetId="11">'zał.11'!$14:$16</definedName>
    <definedName name="_xlnm.Print_Titles" localSheetId="12">'zał.12'!$12:$14</definedName>
    <definedName name="_xlnm.Print_Titles" localSheetId="1">'zał.2  '!$8:$9</definedName>
    <definedName name="_xlnm.Print_Titles" localSheetId="2">'zał.3 '!$7:$11</definedName>
    <definedName name="_xlnm.Print_Titles" localSheetId="3">'zał.4'!$10:$11</definedName>
    <definedName name="_xlnm.Print_Titles" localSheetId="5">'zał.6'!$7:$13</definedName>
    <definedName name="_xlnm.Print_Titles" localSheetId="6">'zał.7'!$7:$13</definedName>
    <definedName name="_xlnm.Print_Titles" localSheetId="7">'zał.8 '!$7:$11</definedName>
    <definedName name="_xlnm.Print_Titles" localSheetId="8">'zał.9'!$7:$10</definedName>
  </definedNames>
  <calcPr fullCalcOnLoad="1"/>
</workbook>
</file>

<file path=xl/sharedStrings.xml><?xml version="1.0" encoding="utf-8"?>
<sst xmlns="http://schemas.openxmlformats.org/spreadsheetml/2006/main" count="5871" uniqueCount="1133">
  <si>
    <t>Dochody budżetu Województwa Kujawsko-Pomorskiego wg źródeł pochodzenia</t>
  </si>
  <si>
    <t>Udziały 
w podatkach
 i   
subwencje</t>
  </si>
  <si>
    <t>Pozostałe dochody własne uzyskiwane  przez Województwo      i jednostki budżetowe</t>
  </si>
  <si>
    <t>Dotacje i środki na finansowanie:</t>
  </si>
  <si>
    <t>zadań pozostałych</t>
  </si>
  <si>
    <t>od jednostek  samorządu  terytorialnego</t>
  </si>
  <si>
    <t>z funduszy celowych</t>
  </si>
  <si>
    <t xml:space="preserve"> z innych źródeł zagranicznych</t>
  </si>
  <si>
    <t xml:space="preserve">z budżetu państwa </t>
  </si>
  <si>
    <t>na finansowanie części unijnej</t>
  </si>
  <si>
    <t>na finansowanie części krajowej</t>
  </si>
  <si>
    <t>11</t>
  </si>
  <si>
    <t>12</t>
  </si>
  <si>
    <t>13</t>
  </si>
  <si>
    <t>14</t>
  </si>
  <si>
    <t>DOCHODY BIEŻĄCE</t>
  </si>
  <si>
    <t>ROLNICTWO I  ŁOWIECTWO</t>
  </si>
  <si>
    <t>756</t>
  </si>
  <si>
    <t>DOCHODY OD OSÓB PRAWNYCH, OD OSÓB FIZYCZNYCH I OD INNYCH JEDNOSTEK NIE POSIADAJĄCYCH OSOBOWOŚCI PRAWNEJ ORAZ WYDATKI ZWIĄZANE Z ICH POBOREM</t>
  </si>
  <si>
    <t>POZOSTAŁE  ZADANIA W ZAKRESIE POLITYKI SPOŁECZNEJ</t>
  </si>
  <si>
    <t>DOCHODY MAJĄTKOWE</t>
  </si>
  <si>
    <t>o g ó ł e m :</t>
  </si>
  <si>
    <r>
      <rPr>
        <sz val="10"/>
        <rFont val="Times New Roman"/>
        <family val="1"/>
      </rPr>
      <t xml:space="preserve">z budżetu państwa </t>
    </r>
    <r>
      <rPr>
        <b/>
        <sz val="10"/>
        <rFont val="Times New Roman"/>
        <family val="1"/>
      </rPr>
      <t>- budżet środków europejskich</t>
    </r>
  </si>
  <si>
    <r>
      <rPr>
        <sz val="10"/>
        <rFont val="Times New Roman"/>
        <family val="1"/>
      </rPr>
      <t xml:space="preserve">z budżetu państwa </t>
    </r>
    <r>
      <rPr>
        <b/>
        <sz val="10"/>
        <rFont val="Times New Roman"/>
        <family val="1"/>
      </rPr>
      <t>- budżet środków krajowych</t>
    </r>
  </si>
  <si>
    <t>Dochody budżetu Województwa Kujawsko - Pomorskiego wg klasyfikacji budżetowej</t>
  </si>
  <si>
    <t>Dział
Rozdział</t>
  </si>
  <si>
    <t>DOCHODY OGÓŁEM</t>
  </si>
  <si>
    <t>Dotacje celowe otrzymane z budżetu państwa na zadania bieżące z zakresu administracji rządowej oraz inne zadania zlecone ustawami realizowane przez samorząd województwa</t>
  </si>
  <si>
    <t>0920</t>
  </si>
  <si>
    <t>0970</t>
  </si>
  <si>
    <t>Wpływy z różnych dochodów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</si>
  <si>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</si>
  <si>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0910</t>
  </si>
  <si>
    <t>Dotacje celowe otrzymane od samorządu województwa na zadania bieżące realizowane na podstawie porozumień (umów) między jednostkami samorządu terytorialnego</t>
  </si>
  <si>
    <t>0870</t>
  </si>
  <si>
    <t>Wpływy ze sprzedaży składników majątkowych</t>
  </si>
  <si>
    <t>Dotacje celowe otrzymane z budżetu państwa na realizację bieżących zadań własnych samorządu województwa</t>
  </si>
  <si>
    <t>0470</t>
  </si>
  <si>
    <t>0770</t>
  </si>
  <si>
    <t>Wpłaty z tytułu odpłatnego nabycia prawa własności oraz prawa użytkowania wieczystego nieruchomości</t>
  </si>
  <si>
    <t>0830</t>
  </si>
  <si>
    <t>Wpływy z usług</t>
  </si>
  <si>
    <t>Komisje egzaminacyjne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</si>
  <si>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</si>
  <si>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</si>
  <si>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0480</t>
  </si>
  <si>
    <t>Udziały województw w podatkach stanowiących dochód budżetu państwa</t>
  </si>
  <si>
    <t>0010</t>
  </si>
  <si>
    <t>0020</t>
  </si>
  <si>
    <t>Część oświatowa subwencji ogólnej dla jednostek samorządu terytorialnego</t>
  </si>
  <si>
    <t>Subwencje ogólne z budżetu państwa</t>
  </si>
  <si>
    <t>Część wyrównawcza subwencji ogólnej dla województw</t>
  </si>
  <si>
    <t>Różne rozliczenia finansowe</t>
  </si>
  <si>
    <t>Część regionalna subwencji ogólnej dla województw</t>
  </si>
  <si>
    <t>Regionalne Programy Operacyjne 2014-2020 finansowane z udziałem środków Europejskiego Funduszu Społecznego</t>
  </si>
  <si>
    <t>Dotacje celowe otrzymane z gminy na zadania bieżące realizowane na podstawie porozumień (umów) między jednostkami samorządu terytorialnego</t>
  </si>
  <si>
    <t>0400</t>
  </si>
  <si>
    <t>Wpływy z opłaty produktowej</t>
  </si>
  <si>
    <t>4</t>
  </si>
  <si>
    <t>Fundusz Gwarantowanych Świadczeń Pracowniczych</t>
  </si>
  <si>
    <t>852</t>
  </si>
  <si>
    <t>854</t>
  </si>
  <si>
    <t>925</t>
  </si>
  <si>
    <t>EDUKACYJNA OPIEKA WYCHOWAWCZA</t>
  </si>
  <si>
    <t>5</t>
  </si>
  <si>
    <t>6</t>
  </si>
  <si>
    <t>7</t>
  </si>
  <si>
    <t>8</t>
  </si>
  <si>
    <t>9</t>
  </si>
  <si>
    <t>10</t>
  </si>
  <si>
    <t>w złotych</t>
  </si>
  <si>
    <t>Dział</t>
  </si>
  <si>
    <t>Nazwa</t>
  </si>
  <si>
    <t>Ogółem</t>
  </si>
  <si>
    <t>1</t>
  </si>
  <si>
    <t>2</t>
  </si>
  <si>
    <t>3</t>
  </si>
  <si>
    <t>010</t>
  </si>
  <si>
    <t>050</t>
  </si>
  <si>
    <t>RYBOŁÓWSTWO I RYBACTWO</t>
  </si>
  <si>
    <t>600</t>
  </si>
  <si>
    <t>TRANSPORT I ŁĄCZNOŚĆ</t>
  </si>
  <si>
    <t>700</t>
  </si>
  <si>
    <t>GOSPODARKA MIESZKANIOWA</t>
  </si>
  <si>
    <t>710</t>
  </si>
  <si>
    <t>DZIAŁALNOŚĆ USŁUGOWA</t>
  </si>
  <si>
    <t>720</t>
  </si>
  <si>
    <t>INFORMATYKA</t>
  </si>
  <si>
    <t>750</t>
  </si>
  <si>
    <t>ADMINISTRACJA PUBLICZNA</t>
  </si>
  <si>
    <t>752</t>
  </si>
  <si>
    <t>OBRONA NARODOWA</t>
  </si>
  <si>
    <t>758</t>
  </si>
  <si>
    <t>RÓŻNE ROZLICZENIA</t>
  </si>
  <si>
    <t>801</t>
  </si>
  <si>
    <t>OŚWIATA I WYCHOWANIE</t>
  </si>
  <si>
    <t>851</t>
  </si>
  <si>
    <t>OCHRONA ZDROWIA</t>
  </si>
  <si>
    <t>POMOC SPOŁECZNA</t>
  </si>
  <si>
    <t>853</t>
  </si>
  <si>
    <t>900</t>
  </si>
  <si>
    <t>GOSPODARKA KOMUNALNA I OCHRONA ŚRODOWISKA</t>
  </si>
  <si>
    <t>921</t>
  </si>
  <si>
    <t>KULTURA I OCHRONA DZIEDZICTWA NARODOWEGO</t>
  </si>
  <si>
    <t>OGRODY BOTANICZNE I ZOOLOGICZNE ORAZ NATURALNE OBSZARY I OBIEKTY CHRONIONEJ PRZYRODY</t>
  </si>
  <si>
    <t>§</t>
  </si>
  <si>
    <t>Kwota</t>
  </si>
  <si>
    <t>ROLNICTWO I ŁOWIECTWO</t>
  </si>
  <si>
    <t>0750</t>
  </si>
  <si>
    <t>Urzędy marszałkowskie</t>
  </si>
  <si>
    <t>Szkoły podstawowe specjalne</t>
  </si>
  <si>
    <t>Gimnazja specjalne</t>
  </si>
  <si>
    <t>Licea ogólnokształcące specjalne</t>
  </si>
  <si>
    <t>Szkoły zawodowe specjalne</t>
  </si>
  <si>
    <t>Dokształcanie i doskonalenie nauczycieli</t>
  </si>
  <si>
    <t>Biblioteki pedagogiczne</t>
  </si>
  <si>
    <t>Składki na ubezpieczenie zdrowotne oraz świadczenia dla osób nieobjętych obowiązkiem ubezpieczenia zdrowotnego</t>
  </si>
  <si>
    <t>Regionalne ośrodki polityki społecznej</t>
  </si>
  <si>
    <t>POZOSTAŁE ZADANIA W ZAKRESIE POLITYKI SPOŁECZNEJ</t>
  </si>
  <si>
    <t>Państwowy Fundusz Rehabilitacji Osób Niepełnosprawnych</t>
  </si>
  <si>
    <t>Wojewódzkie urzędy pracy</t>
  </si>
  <si>
    <t>Specjalne ośrodki szkolno-wychowawcze</t>
  </si>
  <si>
    <t>Placówki wychowania pozaszkolnego</t>
  </si>
  <si>
    <t>Ochrona powietrza atmosferycznego i klimatu</t>
  </si>
  <si>
    <t>Zmniejszenie hałasu i wibracji</t>
  </si>
  <si>
    <t>Wpływy i wydatki związane z gromadzeniem środków z opłat produktowych</t>
  </si>
  <si>
    <t>Domy i ośrodki kultury, świetlice i kluby</t>
  </si>
  <si>
    <t>Biblioteki</t>
  </si>
  <si>
    <t>Parki krajobrazowe</t>
  </si>
  <si>
    <t>01041</t>
  </si>
  <si>
    <t>Pozostała działalność</t>
  </si>
  <si>
    <t>0690</t>
  </si>
  <si>
    <t>Wpływy z różnych opłat</t>
  </si>
  <si>
    <t>05011</t>
  </si>
  <si>
    <t>Krajowe pasażerskie przewozy kolejowe</t>
  </si>
  <si>
    <t>Krajowe pasażerskie przewozy autobusowe</t>
  </si>
  <si>
    <t>Drogi publiczne wojewódzkie</t>
  </si>
  <si>
    <t>Gospodarka gruntami i nieruchomościami</t>
  </si>
  <si>
    <t>Biura planowania przestrzennego</t>
  </si>
  <si>
    <t>Prace geologiczne (nieinwestycyjne)</t>
  </si>
  <si>
    <t>01042</t>
  </si>
  <si>
    <t>Wyłączenie z produkcji gruntów rolnych</t>
  </si>
  <si>
    <t>01095</t>
  </si>
  <si>
    <t>Zadania w zakresie przeciwdziałania przemocy w rodzinie</t>
  </si>
  <si>
    <t>Wczesne wspomaganie rozwoju dziecka</t>
  </si>
  <si>
    <t xml:space="preserve"> </t>
  </si>
  <si>
    <t>Pozostałe wydatki  obronne</t>
  </si>
  <si>
    <t>Wpływy i wydatki związane z wprowadzeniem do obrotu baterii i akumulatorów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</si>
  <si>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</si>
  <si>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Dotacje celowe otrzymane z budżetu państwa na realizację inwestycji i zakupów inwestycyjnych własnych samorządu województwa</t>
  </si>
  <si>
    <t>0550</t>
  </si>
  <si>
    <t>Wpływy z opłat z tytułu użytkowania wieczystego nieruchomości</t>
  </si>
  <si>
    <t>Regionalne Programy Operacyjne 2014-2020 finansowane z udziałem środków Europejskiego Funduszu Rozwoju Regionalnego</t>
  </si>
  <si>
    <t>Dotacje otrzymane z państwowych funduszy celowych na realizację zadań bieżących jednostek sektora finansów publicznych</t>
  </si>
  <si>
    <t>Wpływy z najmu i dzierżawy składników majątkowych Skarbu Państwa, jednostek samorządu terytorialnego lub innych jednostek zaliczanych do sektora finansów publicznych oraz innych umów o podobnym charakterze</t>
  </si>
  <si>
    <t>Wpływy z pozostałych odsetek</t>
  </si>
  <si>
    <t>Program Rozwoju Obszarów Wiejskich</t>
  </si>
  <si>
    <t>Wpływy z podatku dochodowego od osób fizycznych</t>
  </si>
  <si>
    <t>Wpływy z podatku dochodowego od osób prawnych</t>
  </si>
  <si>
    <t>Wpływy z odsetek od nieterminowych wpłat z tytułu podatków i opłat</t>
  </si>
  <si>
    <t>Zadania z zakresu geodezji i kartografii</t>
  </si>
  <si>
    <t>Wpływy z opłat za zezwolenia na sprzedaż napojów alkoholowych</t>
  </si>
  <si>
    <t>Załącznik nr 1 do Uchwały budżetowej</t>
  </si>
  <si>
    <t>855</t>
  </si>
  <si>
    <t>RODZINA</t>
  </si>
  <si>
    <t>150</t>
  </si>
  <si>
    <t>PRZETWÓRSTWO PRZEMYSŁOWE</t>
  </si>
  <si>
    <t>Program Operacyjny Zrównoważony rozwój sektora rybołówstwa i nadbrzeżnych obszarów rybackich 2007-2013 oraz Program Operacyjny Rybactwo i Morze 2014-2020</t>
  </si>
  <si>
    <t>Promocja jednostek samorządu terytorialnego</t>
  </si>
  <si>
    <t>Funkcjonowanie wojewódzkich rad dialogu społecznego</t>
  </si>
  <si>
    <t>Działalność ośrodków adopcyjnych</t>
  </si>
  <si>
    <t>Dotacja celowa otrzymana z tytułu pomocy finansowej udzielanej między jednostkami samorządu terytorialnego na dofinansowanie własnych zadań inwestycyjnych i zakupów inwestycyjnych</t>
  </si>
  <si>
    <t>630</t>
  </si>
  <si>
    <t>TURYSTYKA</t>
  </si>
  <si>
    <t>Dochody jednostek samorządu terytorialnego związane z realizacją zadań z zakresu administracji rządowej oraz innych zadań zleconych ustawami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</si>
  <si>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</si>
  <si>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</si>
  <si>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Rybactwo</t>
  </si>
  <si>
    <t>Infrastruktura kolejowa</t>
  </si>
  <si>
    <t>Wpływy z opłat za zezwolenia, akredytacje oraz opłaty ewidencyjne, w tym opłaty za częstotliwości</t>
  </si>
  <si>
    <t>Wpływy z tytułu kosztów egzekucyjnych, opłaty komorniczej i kosztów upomnień</t>
  </si>
  <si>
    <t>Wpływy z rozliczeń/zwrotów z lat ubiegłych</t>
  </si>
  <si>
    <t>Wpływy z tytułu kar i odszkodowań wynikających z umów</t>
  </si>
  <si>
    <t>Dotacje celowe otrzymane z gminy na inwestycje i zakupy inwestycyjne realizowane na podstawie porozumień (umów) między jednostkami samorządu terytorialnego</t>
  </si>
  <si>
    <t>Wpływy z opłat za trwały zarząd, użytkowanie i służebności</t>
  </si>
  <si>
    <t>Wpływy z opłat egzaminacyjnych oraz opłat za wydawanie świadectw, dyplomów, zaświadczeń, certyfikatów i ich duplikatów</t>
  </si>
  <si>
    <t>Szkoły policealne</t>
  </si>
  <si>
    <t>Dotacje celowe otrzymane z powiatu na zadania bieżące realizowane na podstawie porozumień (umów) między jednostkami samorządu terytorialnego</t>
  </si>
  <si>
    <t>Kwalifikacyjne kursy zawodowe</t>
  </si>
  <si>
    <t>Wpływy z wpłat gmin i powiatów na rzecz innych jednostek samorządu terytorialnego oraz związków gmin, związków powiatowo-gminnych, związków powiatów, związków metropolitalnych na dofinansowanie zadań bieżących</t>
  </si>
  <si>
    <t>Środki otrzymane od pozostałych jednostek zaliczanych do sektora finansów publicznych na realizacje zadań bieżących jednostek zaliczanych do sektora finansów publicznych</t>
  </si>
  <si>
    <t>05002</t>
  </si>
  <si>
    <t>0620</t>
  </si>
  <si>
    <t>0640</t>
  </si>
  <si>
    <t>0940</t>
  </si>
  <si>
    <t>0950</t>
  </si>
  <si>
    <t>2230</t>
  </si>
  <si>
    <t>0610</t>
  </si>
  <si>
    <t>Wpływy i wydatki związane z gromadzeniem środków z opłat i kar za korzystanie ze środowiska</t>
  </si>
  <si>
    <t xml:space="preserve">Województwa z dnia   .12.2018 r.       </t>
  </si>
  <si>
    <t>Plan na 2019 rok</t>
  </si>
  <si>
    <t xml:space="preserve"> z pozostalych źródeł </t>
  </si>
  <si>
    <t xml:space="preserve"> zadań z udziałem środków z budżetu Unii Europejskiej i innych źródeł zagranicznych</t>
  </si>
  <si>
    <t>15</t>
  </si>
  <si>
    <t xml:space="preserve">Uchwała Nr    /   /18 Sejmiku </t>
  </si>
  <si>
    <t>16</t>
  </si>
  <si>
    <t>Rozwój przedsiębiorczości</t>
  </si>
  <si>
    <t>Dotacje celowe otrzymane z powiatu na inwestycje i zakupy inwestycyjne realizowane na podstawie porozumień (umów) między jednostkami samorządu terytorialnego</t>
  </si>
  <si>
    <t>Zadania w zakresie upowszechniania turystyki</t>
  </si>
  <si>
    <t>Realizacja zadań wymagających stosowania specjalnej organizacji nauki i metod pracy dla dzieci w przedszkolach, oddziałach przedszkolnych w szkołach podstawowych i innych  formach wychowania przedszkolnego</t>
  </si>
  <si>
    <t>Wpływy z odsetek od dotacji oraz płatności: wykorzystanych niezgodnie z przeznaczeniem lub wykorzystanych z naruszeniem procedur, o których mowa w art. 184 ustawy, pobranych nienależnie lub w nadmiernej wysokości</t>
  </si>
  <si>
    <t>Wpływy ze zwrotów dotacji oraz płatności wykorzystanych niezgodnie z przeznaczeniem lub wykorzystanych z naruszeniem procedur, o których mowa w art. 184 ustawy, pobranych nienależnie lub w nadmiernej wysokości, dotyczące dochodów majątkowych</t>
  </si>
  <si>
    <t>Pozostałe działania związane z gospodarką odpadami</t>
  </si>
  <si>
    <t>Wpływy z opłaty recyklingowej</t>
  </si>
  <si>
    <t>Pozostałe zadania w zakresie kultury</t>
  </si>
  <si>
    <t>0900</t>
  </si>
  <si>
    <t>0240</t>
  </si>
  <si>
    <t>Dotacje celowe w ramach programów finansowanych z udziałem środków europejskich oraz środków, o których mowa w art.5 ust.1 pkt 3 oraz ust. 3 pkt 5 i 6 ustawy, lub płatności w ramach budżetu środków europejskich, z wyłączeniem dochodów klasyfikowanych w paragrafie 625</t>
  </si>
  <si>
    <t>Placówki kształcenia ustawicznego, placówki kształcenia praktycznego i ośrodki doskonalenia zawodowego</t>
  </si>
  <si>
    <t>Środki na dofinansowanie własnych inwestycji gmin, powiatów (związków gmin, związków powiatowo-gminnych, związków powiatów), samorządów województw, pozyskane z innych źródeł</t>
  </si>
  <si>
    <t>2310</t>
  </si>
  <si>
    <t>2320</t>
  </si>
  <si>
    <t>Załącznik nr 3 do Uchwały budżetowej</t>
  </si>
  <si>
    <t>Wydatki budżetu Województwa Kujawsko-Pomorskiego wg grup wydatków</t>
  </si>
  <si>
    <t>Dział                   Rozdział</t>
  </si>
  <si>
    <t>z tego:</t>
  </si>
  <si>
    <t>Wydatki bieżące</t>
  </si>
  <si>
    <t>w tym: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</si>
  <si>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</si>
  <si>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</si>
  <si>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</si>
  <si>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</si>
  <si>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</si>
  <si>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</si>
  <si>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Inwestycje i zakupy inwestycyjne                   ( w tym dotacje)</t>
  </si>
  <si>
    <t>Zakup i objęcie akcji i udziałów</t>
  </si>
  <si>
    <t>Wynagrodzenia z pochodnymi</t>
  </si>
  <si>
    <t>Zadania statutowe</t>
  </si>
  <si>
    <t>OGÓŁEM</t>
  </si>
  <si>
    <t>01009</t>
  </si>
  <si>
    <t>Spółki wodne</t>
  </si>
  <si>
    <t>01010</t>
  </si>
  <si>
    <t>Infrastruktura wodociągowa i sanitacyjna wsi</t>
  </si>
  <si>
    <t xml:space="preserve">Program Rozwoju Obszarów Wiejskich                                             </t>
  </si>
  <si>
    <t>15011</t>
  </si>
  <si>
    <t>Rozwój  przedsiębiorczości</t>
  </si>
  <si>
    <t>15013</t>
  </si>
  <si>
    <t>Rozwój kadr nowoczesnej gospodarki i przedsiębiorczości</t>
  </si>
  <si>
    <t>15095</t>
  </si>
  <si>
    <t>500</t>
  </si>
  <si>
    <t>HANDEL</t>
  </si>
  <si>
    <t>50005</t>
  </si>
  <si>
    <t>Promocja eksportu</t>
  </si>
  <si>
    <t>60001</t>
  </si>
  <si>
    <t>60002</t>
  </si>
  <si>
    <t>60003</t>
  </si>
  <si>
    <t>60013</t>
  </si>
  <si>
    <t>60014</t>
  </si>
  <si>
    <t>Drogi publiczne powiatowe</t>
  </si>
  <si>
    <t>60016</t>
  </si>
  <si>
    <t>Drogi publiczne gminne</t>
  </si>
  <si>
    <t>60095</t>
  </si>
  <si>
    <t>63003</t>
  </si>
  <si>
    <t>63095</t>
  </si>
  <si>
    <t>70005</t>
  </si>
  <si>
    <t>71003</t>
  </si>
  <si>
    <t>71004</t>
  </si>
  <si>
    <t>Plany zagospodarowania przestrzennego</t>
  </si>
  <si>
    <t>71005</t>
  </si>
  <si>
    <t>71012</t>
  </si>
  <si>
    <t>72095</t>
  </si>
  <si>
    <t>75017</t>
  </si>
  <si>
    <t>Samorządowe sejmiki województw</t>
  </si>
  <si>
    <t>75018</t>
  </si>
  <si>
    <t>75058</t>
  </si>
  <si>
    <t>Działalność informacyjna i kulturalna prowadzona za granicą</t>
  </si>
  <si>
    <t>75075</t>
  </si>
  <si>
    <t>75084</t>
  </si>
  <si>
    <t>75095</t>
  </si>
  <si>
    <t>75212</t>
  </si>
  <si>
    <t>Pozostałe wydatki obronne</t>
  </si>
  <si>
    <t>754</t>
  </si>
  <si>
    <t>BEZPIECZEŃSTWO PUBLICZNE I OCHRONA PRZECIWPOŻAROWA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</si>
  <si>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</si>
  <si>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</si>
  <si>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</si>
  <si>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</si>
  <si>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</si>
  <si>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</si>
  <si>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</si>
  <si>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</si>
  <si>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</si>
  <si>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80102</t>
  </si>
  <si>
    <t>80105</t>
  </si>
  <si>
    <t>Przedszkola specjalne</t>
  </si>
  <si>
    <t>80111</t>
  </si>
  <si>
    <t>80113</t>
  </si>
  <si>
    <t>Dowożenie uczniów do szkół</t>
  </si>
  <si>
    <t>80116</t>
  </si>
  <si>
    <t>80121</t>
  </si>
  <si>
    <t>80134</t>
  </si>
  <si>
    <t>80140</t>
  </si>
  <si>
    <t>Placówki kształcenia ustawicznego, placówki kształcenia praktycznego i ośrodki dokształcania i doskonalenia zawodowego</t>
  </si>
  <si>
    <t>80146</t>
  </si>
  <si>
    <t>80147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</si>
  <si>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</si>
  <si>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</si>
  <si>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80151</t>
  </si>
  <si>
    <t>80195</t>
  </si>
  <si>
    <t>803</t>
  </si>
  <si>
    <t>SZKOLNICTWO WYŻSZE</t>
  </si>
  <si>
    <t>Szpitale ogólne</t>
  </si>
  <si>
    <t>Ratownictwo medyczne</t>
  </si>
  <si>
    <t>Medycyna pracy</t>
  </si>
  <si>
    <t>Programy polityki zdrowotnej</t>
  </si>
  <si>
    <t>Zwalczanie narkomanii</t>
  </si>
  <si>
    <t>Przeciwdziałanie alkoholizmowi</t>
  </si>
  <si>
    <t>Ośrodki wsparcia</t>
  </si>
  <si>
    <t>Usługi opiekuńcze i specjalistyczne usługi opiekuńcze</t>
  </si>
  <si>
    <t>Rehabilitacja zawodowa i społeczna osób niepełnosprawnych</t>
  </si>
  <si>
    <t xml:space="preserve">EDUKACYJNA OPIEKA WYCHOWAWCZA </t>
  </si>
  <si>
    <t>Internaty i bursy szkolne</t>
  </si>
  <si>
    <t>Pomoc materialna dla uczniów o charakterze socjalnym</t>
  </si>
  <si>
    <t>Pomoc materialna dla uczniów o charakterze motywacyjnym</t>
  </si>
  <si>
    <t>Wpływy i wydatki związane z wprowadzaniem do obrotu baterii i akumulatorów</t>
  </si>
  <si>
    <t>Teatry</t>
  </si>
  <si>
    <t>Filharmonie, orkiestry, chóry i kapele</t>
  </si>
  <si>
    <t>Galerie i biura wystaw artystycznych</t>
  </si>
  <si>
    <t>Centra kultury i sztuki</t>
  </si>
  <si>
    <t>Muzea</t>
  </si>
  <si>
    <t>Ochrona zabytków i opieka nad zabytkami</t>
  </si>
  <si>
    <t xml:space="preserve">KULTURA FIZYCZNA </t>
  </si>
  <si>
    <t>Zadania w zakresie kultury fizycznej</t>
  </si>
  <si>
    <t>Uchwała Nr   /   /18 Sejmiku Województwa</t>
  </si>
  <si>
    <t>z dnia      .12.2018 r.</t>
  </si>
  <si>
    <t xml:space="preserve">                                                                                               Załącznik nr 4 do Uchwały budżetowej</t>
  </si>
  <si>
    <t>Wydatki budżetu Województwa Kujawsko-Pomorskiego wg klasyfikacji budżetowej</t>
  </si>
  <si>
    <t>Dział                       Rozdział</t>
  </si>
  <si>
    <t>WYDATKI OGÓŁEM</t>
  </si>
  <si>
    <t>Dotacja celowa z budżetu na finansowanie lub dofinansowanie zadań zleconych do realizacji pozostałym jednostkom nie zaliczanym do sektora finansów publicznych</t>
  </si>
  <si>
    <t>Dotacja celowa na pomoc finansową udzielaną między jednostkami samorządu terytorialnego na dofinansowanie własnych zadań inwestycyjnych i zakupów inwestycyjnych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</si>
  <si>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</si>
  <si>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Zwrot dotacji oraz płatności wykorzystanych niezgodnie z przeznaczeniem lub wykorzystanych z naruszeniem procedur, o których mowa w art. 184 ustawy, pobranych nienależnie lub w nadmiernej wysokości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</si>
  <si>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</si>
  <si>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</si>
  <si>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</si>
  <si>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</si>
  <si>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</si>
  <si>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Nagrody konkursowe</t>
  </si>
  <si>
    <t>Zakup materiałów i wyposażenia</t>
  </si>
  <si>
    <t>Zakup środków żywności</t>
  </si>
  <si>
    <t>Zakup energii</t>
  </si>
  <si>
    <t>Zakup usług remontowych</t>
  </si>
  <si>
    <t>Zakup usług pozostałych</t>
  </si>
  <si>
    <t>Opłaty z tytułu zakupu usług telekomunikacyjnych</t>
  </si>
  <si>
    <t>Zakup usług obejmujących tłumaczenia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</si>
  <si>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</si>
  <si>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</si>
  <si>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</si>
  <si>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</si>
  <si>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Szkolenia pracowników niebędących członkami korpusu służby cywilnej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</si>
  <si>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</si>
  <si>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Koszty postępowania sądowego i prokuratorskiego</t>
  </si>
  <si>
    <t>Dotacje celowe przekazane gminie na inwestycje i zakupy inwestycyjne realizowane na podstawie porozumień (umów) między jednostkami samorządu terytorialnego</t>
  </si>
  <si>
    <t>Dotacje celowe przekazane gminie na zadania bieżące realizowane na podstawie porozumień (umów) między jednostkami samorządu terytorialnego</t>
  </si>
  <si>
    <t>Podatek od towarów i usług (VAT).</t>
  </si>
  <si>
    <t>Składki do organizacji międzynarodowych</t>
  </si>
  <si>
    <t>Dotacja celowa z budżetu dla pozostałych jednostek zaliczanych do sektora finansów publicznych</t>
  </si>
  <si>
    <t>Dotacje celowe przekazane do samorządu województwa na zadania bieżące realizowane na podstawie porozumień (umów) między jednostkami samorządu terytorialnego</t>
  </si>
  <si>
    <t>Dotacja przedmiotowa z budżetu dla jednostek niezaliczanych do sektora finansów publicznych</t>
  </si>
  <si>
    <t>Wydatki inwestycyjne jednostek budżetowych</t>
  </si>
  <si>
    <t>Wydatki osobowe niezaliczone do wynagrodzeń</t>
  </si>
  <si>
    <t>Wpłaty na Państwowy Fundusz Rehabilitacji Osób Niepełnosprawnych</t>
  </si>
  <si>
    <t>Zakup usług zdrowotnych</t>
  </si>
  <si>
    <t>Zakup usług obejmujących wykonanie ekspertyz, analiz i opinii</t>
  </si>
  <si>
    <t>Odpisy na zakładowy fundusz świadczeń socjalnych</t>
  </si>
  <si>
    <t>Podatek od nieruchomości</t>
  </si>
  <si>
    <t>Pozostałe podatki na rzecz budżetów jednostek samorządu terytorialnego</t>
  </si>
  <si>
    <t>Opłaty na rzecz budżetu państwa</t>
  </si>
  <si>
    <t>Opłaty na rzecz budżetów jednostek samorządu terytorialnego</t>
  </si>
  <si>
    <t>Wydatki na zakupy inwestycyjne jednostek budżetowych</t>
  </si>
  <si>
    <t>Dotacje celowe przekazane dla powiatu na inwestycje i zakupy inwestycyjne realizowane na podstawie porozumień (umów) między jednostkami samorządu terytorialnego</t>
  </si>
  <si>
    <t>Wydatki na zakup i objęcie akcji i udziałów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</si>
  <si>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</si>
  <si>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</si>
  <si>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>Dotacje celowe z budżetu na finansowanie lub dofinansowanie kosztów realizacji inwestycji i zakupów inwestycyjnych innych jednostek sektora finansów publicznych</t>
  </si>
  <si>
    <t>Różne wydatki na rzecz osób fizycznych</t>
  </si>
  <si>
    <t>Nagrody o charakterze szczególnym niezaliczone do wynagrodzeń</t>
  </si>
  <si>
    <t>Odsetki od samorządowych papierów wartościowych lub zaciągniętych przez jednostkę samorządu terytorialnego kredytów i pożyczek</t>
  </si>
  <si>
    <t>Wypłaty z tytułu zagranicznych poręczeń i gwarancji</t>
  </si>
  <si>
    <t>Wypłaty z tytułu krajowych poręczeń i gwarancji</t>
  </si>
  <si>
    <t>Rezerwy</t>
  </si>
  <si>
    <t>Rezerwy na inwestycje i zakupy inwestycyjne</t>
  </si>
  <si>
    <t>Zakup środków dydaktycznych i książek</t>
  </si>
  <si>
    <t>Dotacja celowa przekazana z budżetu jednostki samorządu terytorialnego na dofinansowanie realizacji zadań w zakresie programów polityki zdrowotnej</t>
  </si>
  <si>
    <t>Składki na ubezpieczenie zdrowotne</t>
  </si>
  <si>
    <t>Dotacje celowe przekazane dla powiatu na zadania bieżące realizowane na podstawie porozumień (umów) między jednostkami samorządu terytorialnego</t>
  </si>
  <si>
    <t>Dotacja celowa z budżetu na finansowanie lub dofinansowanie zadań zleconych do realizacji stowarzyszeniom</t>
  </si>
  <si>
    <t>Odsetki od dotacji oraz płatności: wykorzystanych niezgodnie z przeznaczeniem lub wykorzystanych z naruszeniem procedur, o których mowa w art. 184 ustawy, pobranych nienależnie lub  w nadmiernej wysokości</t>
  </si>
  <si>
    <t>Stypendia dla uczniów</t>
  </si>
  <si>
    <t>Dotacja celowa z budżetu na finansowanie lub dofinansowanie zadań zleconych do realizacji fundacjom</t>
  </si>
  <si>
    <t>Dotacja podmiotowa z budżetu dla samorządowej instytucji kultury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</si>
  <si>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</si>
  <si>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</si>
  <si>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 przekazane jednostkom zaliczanym do sektora finansów publicznych</t>
  </si>
  <si>
    <t>Stypendia różne</t>
  </si>
  <si>
    <t>926</t>
  </si>
  <si>
    <t>KULTURA FIZYCZNA</t>
  </si>
  <si>
    <t xml:space="preserve">                                                                                               Uchwała Nr    /    /18  Sejmiku Województwa</t>
  </si>
  <si>
    <t xml:space="preserve">                                                                                                z dnia      .12.2018 r.</t>
  </si>
  <si>
    <t>Załącznik nr 5 do Uchwały budżetowej</t>
  </si>
  <si>
    <t xml:space="preserve">Wynik budżetowy i finansowy </t>
  </si>
  <si>
    <t>Lp.</t>
  </si>
  <si>
    <t>Wyszczególnienie</t>
  </si>
  <si>
    <t>Plan na 2019 r.</t>
  </si>
  <si>
    <t>Dochody</t>
  </si>
  <si>
    <t>1.1</t>
  </si>
  <si>
    <t>dochody bieżące</t>
  </si>
  <si>
    <t>1.2</t>
  </si>
  <si>
    <t>dochody majątkowe</t>
  </si>
  <si>
    <t>Przychody</t>
  </si>
  <si>
    <t>2.1</t>
  </si>
  <si>
    <t>Kredyt krajowy</t>
  </si>
  <si>
    <t>2.1.1</t>
  </si>
  <si>
    <t>Kredyt na spłatę zaciągniętych kredytów</t>
  </si>
  <si>
    <t>2.1.2</t>
  </si>
  <si>
    <t>Kredyt na sfinansowanie planowanego deficytu budżetowego</t>
  </si>
  <si>
    <t>2.2</t>
  </si>
  <si>
    <t>Wolne środki z lat ubiegłych</t>
  </si>
  <si>
    <t>OGÓŁEM   (w.1 + w.2)</t>
  </si>
  <si>
    <t>Wydatki</t>
  </si>
  <si>
    <t>4.1</t>
  </si>
  <si>
    <t>wydatki bieżące, w tym:</t>
  </si>
  <si>
    <t>4.1.1</t>
  </si>
  <si>
    <t>wydatki bieżące (bez obsługi długu, gwarancji i poręczeń)</t>
  </si>
  <si>
    <t>4.1.2</t>
  </si>
  <si>
    <t>wydatki na obsługę długu, gwarancje i poręczenia</t>
  </si>
  <si>
    <t>4.2</t>
  </si>
  <si>
    <t>wydatki majątkowe</t>
  </si>
  <si>
    <t>Rozchody</t>
  </si>
  <si>
    <t>5.1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</si>
  <si>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</si>
  <si>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</si>
  <si>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</si>
  <si>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</si>
  <si>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</si>
  <si>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</si>
  <si>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Kredyty bankowe</t>
  </si>
  <si>
    <t>9.2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</si>
  <si>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</si>
  <si>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</si>
  <si>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</si>
  <si>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</si>
  <si>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</si>
  <si>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</si>
  <si>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</si>
  <si>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</si>
  <si>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</si>
  <si>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</si>
  <si>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</si>
  <si>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</si>
  <si>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</si>
  <si>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>Wynik finansowy budżetu</t>
  </si>
  <si>
    <t xml:space="preserve">Uchwała Nr    /    /18  Sejmiku </t>
  </si>
  <si>
    <t>Województwa z dnia    .12.2018 r.</t>
  </si>
  <si>
    <t xml:space="preserve">Uchwała Nr       /18 Sejmiku </t>
  </si>
  <si>
    <t xml:space="preserve">Projekty i działania realizowane w ramach Regionalnego Programu Operacyjnego Województwa Kujawsko-Pomorskiego 2014-2020 
Plan na 2019 rok </t>
  </si>
  <si>
    <t>L.p.</t>
  </si>
  <si>
    <t>Działanie</t>
  </si>
  <si>
    <t>Kategoria interwencji</t>
  </si>
  <si>
    <t>Nazwa Projektu/Działania</t>
  </si>
  <si>
    <t>Realizator/
instytucja wdrażająca</t>
  </si>
  <si>
    <t>Klasyfikacja budżetowa
Dział
Rozdział</t>
  </si>
  <si>
    <t>Okres realizacji</t>
  </si>
  <si>
    <t>Wydatki całkowite
na lata 2014-2023 w tym:</t>
  </si>
  <si>
    <t>Przewidywane wykonanie do końca 2018 r.</t>
  </si>
  <si>
    <t>Wydatki 2019</t>
  </si>
  <si>
    <t>UE</t>
  </si>
  <si>
    <t>Wydatki
ogółem</t>
  </si>
  <si>
    <t>Unia Europejska</t>
  </si>
  <si>
    <t xml:space="preserve">Ogółem </t>
  </si>
  <si>
    <t>Wkład krajowy</t>
  </si>
  <si>
    <t>BP</t>
  </si>
  <si>
    <t>Budżet państwa</t>
  </si>
  <si>
    <t>Budżet Województwa</t>
  </si>
  <si>
    <t xml:space="preserve">Inne </t>
  </si>
  <si>
    <t>Środki własne</t>
  </si>
  <si>
    <t xml:space="preserve">Bieżące </t>
  </si>
  <si>
    <t>Inwestycyjne</t>
  </si>
  <si>
    <t>Bieżące</t>
  </si>
  <si>
    <t>Ogólem</t>
  </si>
  <si>
    <t>8a</t>
  </si>
  <si>
    <t>9=10+13</t>
  </si>
  <si>
    <t>10=11+12</t>
  </si>
  <si>
    <t>13=14+17+20</t>
  </si>
  <si>
    <t>14=15+16</t>
  </si>
  <si>
    <t>17=18+19</t>
  </si>
  <si>
    <t>20=21+22</t>
  </si>
  <si>
    <t xml:space="preserve">Wydatki realizowane i nadzorowane przez wojewódzkie jednostki organizacyjne </t>
  </si>
  <si>
    <t>1.5.2</t>
  </si>
  <si>
    <t>066</t>
  </si>
  <si>
    <t>Invest in BiT CITY 2. Promocja potencjału gospodarczego oraz promocja atrakcyjności inwestycyjnej miast prezydenckich województwa kujawsko-pomorskiego</t>
  </si>
  <si>
    <t>UM</t>
  </si>
  <si>
    <t>750
75075</t>
  </si>
  <si>
    <t>2016 - 2023</t>
  </si>
  <si>
    <t>Expressway - promocja terenów inwestycyjnych</t>
  </si>
  <si>
    <t>Kujawy + Pomorze - promocja potencjału gospodarczego regionu</t>
  </si>
  <si>
    <t>2018 - 2020</t>
  </si>
  <si>
    <t>Wsparcie umiędzynarodowienia kujawsko-pomorskich MŚP oraz promocja potencjału gospodarczego regionu</t>
  </si>
  <si>
    <t>078, 081, 101</t>
  </si>
  <si>
    <t>Infostrada Kujaw i Pomorza 2.0</t>
  </si>
  <si>
    <t>720
72095</t>
  </si>
  <si>
    <t>2016 - 2022</t>
  </si>
  <si>
    <t>Budowa kujawsko-pomorskiego systemu udostępniania elektronicznej dokumentacji medycznej - I etap</t>
  </si>
  <si>
    <t>Budowa kujawsko-pomorskiego systemu udostępniania elektronicznej dokumentacji medycznej - II etap</t>
  </si>
  <si>
    <t>2018 - 2022</t>
  </si>
  <si>
    <t>079, 101</t>
  </si>
  <si>
    <t>Kultura w zasięgu 2.0</t>
  </si>
  <si>
    <t>2016 - 2020</t>
  </si>
  <si>
    <t>3.4</t>
  </si>
  <si>
    <t>090</t>
  </si>
  <si>
    <t>Przebudowa wraz z rozbudową drogi wojewódzkiej Nr 265 Brześć Kujawski-Gostynin od km 0+003 do km 19+117 w zakresie dotyczącym budowy ciągów pieszo-rowerowych</t>
  </si>
  <si>
    <t>ZDW</t>
  </si>
  <si>
    <t>600                 60013</t>
  </si>
  <si>
    <t>2017 - 2019</t>
  </si>
  <si>
    <t>3.5.2</t>
  </si>
  <si>
    <t>Poprawa bezpieczeństwa i komfortu życia mieszkańców oraz wsparcie niskoemisyjnego transportu drogowego poprzez wybudowanie dróg dla rowerów (lider: powiat toruński)</t>
  </si>
  <si>
    <t>600
60013</t>
  </si>
  <si>
    <t>2017 - 2020</t>
  </si>
  <si>
    <t>Poprawa bezpieczeństwa i komfortu życia mieszkańców oraz wsparcie niskoemisyjnego transportu drogowego poprzez wybudowanie dróg rowerowych na terenie powiatu bydgoskiego (lider: gmina Koronowo, gmina Solec Kujawski, powiat bydgoski)</t>
  </si>
  <si>
    <t>2017 - 2021</t>
  </si>
  <si>
    <t>Poprawa bezpieczeństwa i komfortu życia mieszkańców oraz wsparcie niskoemisyjnego transportu drogowego poprzez wybudowanie dróg dla rowerów - przy drodze wojewódzkiej Nr 551 Wybcz - Nawra, Nawra - Bogusławki oraz Zelgno (lider: Gmina Chełmża)</t>
  </si>
  <si>
    <t>Ograniczenie emisji spalin poprzez rozbudowę sieci dróg rowerowych, znajdujących się w koncepcji rozwoju systemu transportu Bydgosko-Toruńskiego Obszaru Funkcjonalnego dla: Częsci nr 1 - Nawra - Kończewice - Chełmża - Zalesie - Kiełbasin - Mlewo - Mlewiec - Srebrniki - Sierakowo w ciągu dróg wojewódzkich nr: 551, 649, 554</t>
  </si>
  <si>
    <t>Ograniczenie emisji spalin poprzez rozbudowę sieci dróg rowerowych, znajdujących się w koncepcji rozwoju systemu transportu Bydgosko-Toruńskiego Obszaru Funkcjonalnego dla: Częsci nr 2 - Złotoria - Nowa Wieś - Lubicz Górny w ciągu drogi wojewódzkiej nr 657</t>
  </si>
  <si>
    <t>Ograniczenie emisji spalin poprzez rozbudowę sieci dróg rowerowych, znajdujących się w koncepcji rozwoju systemu transportu Bydgosko-Toruńskiego Obszaru Funkcjonalnego dla: Częsci nr 3 - Toruń - Mała Nieszawka - Wielka Nieszawka - Cierpice w ciągu drogi wojewódzkiej nr 273</t>
  </si>
  <si>
    <t>017, 018</t>
  </si>
  <si>
    <t>Punkty selektywnego zbierania odpadów komunalnych w województwie kujawsko-pomorskim</t>
  </si>
  <si>
    <t>900
90026</t>
  </si>
  <si>
    <t>2018 - 2021</t>
  </si>
  <si>
    <t>4.4</t>
  </si>
  <si>
    <t>094, 095</t>
  </si>
  <si>
    <t>Kujawsko-Pomorskie - rozwój poprzez kulturę 2018</t>
  </si>
  <si>
    <t>921
92195</t>
  </si>
  <si>
    <t>2018 - 2019</t>
  </si>
  <si>
    <t>4.5</t>
  </si>
  <si>
    <t>085</t>
  </si>
  <si>
    <t>Ochrona czynna i monitoring obszarów Natura 2000 zlokalizowanych w granicach Brodnickiego Parku Krajobrazowego</t>
  </si>
  <si>
    <t>BPK</t>
  </si>
  <si>
    <t>925
92502</t>
  </si>
  <si>
    <t xml:space="preserve">Poprawa różnorodności biologicznej poprzez zarybianie j. Gopło oraz rozbudowa obiektu o część ekspozycji przyrodniczo-historycznej </t>
  </si>
  <si>
    <t>NPT</t>
  </si>
  <si>
    <t>Utworzenie ośrodka edukacji przyrodniczej Krajeńskiego Parku Krajobrazowego</t>
  </si>
  <si>
    <t>KPK</t>
  </si>
  <si>
    <t>Budowa stacji terenowo-badawczej "Podmoście"</t>
  </si>
  <si>
    <t>ZPKnDW</t>
  </si>
  <si>
    <t>Modernizacja zagrody wiejskiej w Dusocinie na potrzeby ośrodka edukacji ekologicznej na terenie Parku Krajobrazowego "Góry Łosiowe" wraz z czynną ochrona przyrody na obszarze Natura 2000</t>
  </si>
  <si>
    <t>034</t>
  </si>
  <si>
    <t>Rozbudowa drogi wojewódzkiej Nr 251 Kaliska-Inowrocław na odcinku od km 19+649 (od granicy województwa kujawsko-pomorskiego)  do km 34+200 oraz od km 34+590,30 do km 35+290 wraz z przebudową mostu na rzece Gąsawka w miejscowości Żnin</t>
  </si>
  <si>
    <t>Rozbudowa drogi wojewódzkiej Nr 548 Stolno-Wąbrzeźno od km 0+005 do km 29+619 z wyłączeniem węzła autostradowego w m. Lisewo od km 14+144 do km 15+146</t>
  </si>
  <si>
    <t>Przebudowa i rozbudowa drogi wojewódzkiej Nr 559 na odcinku Lipno - Kamień Kotowy - granica województwa</t>
  </si>
  <si>
    <t>2016 - 2019</t>
  </si>
  <si>
    <t>Przebudowa wraz z rozbudową drogi wojewódzkiej Nr 265 Brześć Kujawski-Gostynin od km 0+003 do km 19+117</t>
  </si>
  <si>
    <t>Rozbudowa drogi wojewódzkiej Nr 240 Chojnice-Świecie od km 23+190 do km 36+817 i od km 62+877 do km 65+718</t>
  </si>
  <si>
    <t>Przebudowa i rozbudowa drogi wojewódzkiej Nr 255 Pakość - Strzelno od km 0+005 do km 21+910, Etap I - Rozbudowa drogi wojewódzkiej Nr 255 na odc. od km 0+005 do km 2+220, dł. 2,215 km"</t>
  </si>
  <si>
    <t>Przebudowa i rozbudowa drogi wojewódzkiej Nr 255 Pakość - Strzelno od km 0+005 do km 21+910, Etap II - Przebudowa drogi wojewódzkiej Nr 255 na odc. od km 2+220 do km 21+910, dł. 19,690 km</t>
  </si>
  <si>
    <t>Przebudowa wraz z rozbudową drogi wojewódzkiej Nr 266 Ciechocinek-Służewo-Radziejów-Sompolno-Konin</t>
  </si>
  <si>
    <t>Przebudowa wraz z rozbudową drogi wojewódzkiej Nr 241 Tuchola - Rogoźno od km 0+005 do km 26+360 na odc. Tuchola - Sępólno Krajeńskie</t>
  </si>
  <si>
    <t>2016 - 2021</t>
  </si>
  <si>
    <t>Przebudowa wraz z rozbudową drogi wojewódzkiej Nr 254 Brzoza-Łabiszyn-Barcin-Mogilno-Wylatowo (odcinek Brzoza-Barcin)</t>
  </si>
  <si>
    <t>Przebudowa wraz z rozbudową drogi wojewódzkiej Nr 254 Brzoza-Wylatowo (odcinek Barcin-Wylatowo)</t>
  </si>
  <si>
    <t>Przebudowa wraz z rozbudową drogi wojewódzkiej Nr 534 Grudziądz-Wąbrzeźno-Golub-Dobrzyń-Rypin od km 76+705 do km 81+719</t>
  </si>
  <si>
    <t>Przebudowa wraz z rozbudową drogi wojewódzkiej Nr 270 Brześć Kujawski-Izbica Kujawska-Koło od km 0+000 do km 29+023</t>
  </si>
  <si>
    <t>Przebudowa wraz z rozbudową drogi wojewódzkiej Nr 269 Szczerkowo-Kowal od km 12+170 do km 28+898 oraz od km 33+622 do km 59+194</t>
  </si>
  <si>
    <t>Przebudowa wraz z rozbudową drogi wojewódzkiej Nr 563 Rypin-Żuromin-Mława od km 2+475 do km 16+656</t>
  </si>
  <si>
    <t>Przebudowa drogi wojewódzkiej Nr 249 wraz z uruchomieniem przeprawy promowej przez Wisłę na wysokości Solca Kujawskiego i Czarnowa</t>
  </si>
  <si>
    <t>6.3.1</t>
  </si>
  <si>
    <t>052</t>
  </si>
  <si>
    <t>Tylko w Korczaku jest super dzieciaku</t>
  </si>
  <si>
    <t>854                 85403</t>
  </si>
  <si>
    <t>6.3.2</t>
  </si>
  <si>
    <t>Mistrz zawodu w nowoczesnym warsztacie - modernizacja warsztatów kształcenia zawodowego w Specjalnym Ośrodku Szkolno-Wychowawczym Nr 1 w Bydgoszczy</t>
  </si>
  <si>
    <t>Artyści w zawodzie - modernizacja warsztatów kształcenia zawodowego w KPSOSW im. J. Korczaka w Toruniu</t>
  </si>
  <si>
    <t>"Usłyszeć potrzeby" - wzmocnienie pozycji uczniów słabosłyszących i niesłyszących w ramach rozbudowy warsztatów zawodowych Kujawsko-Pomorskiego Specjalnego Ośrodka Szkolno-Wychowawczego nr 2 w Bydgoszczy w kontekscie zwiększenia szans na rynku pracy</t>
  </si>
  <si>
    <t>Medyczne Centrum Przyszłości - utworzenie bazy kształcenia zawodowego dla Medyczno-Społecznego Centrum Kształcenia Zawodowego i Ustawicznego w Toruniu</t>
  </si>
  <si>
    <t>801                 80116</t>
  </si>
  <si>
    <t>Kwalifikacyjne Kursy Zawodowe twoją zawodowa szansą - nowe formy praktycznej nauki zawodu w Kujawsko-Pomorskim Ośrodku Dokształcania i Doskonalenia Zawodowego</t>
  </si>
  <si>
    <t>801                 80140</t>
  </si>
  <si>
    <t>6.5</t>
  </si>
  <si>
    <t>075, 093</t>
  </si>
  <si>
    <t>Utworzenie Centrum Czynnej Ochrony Przyrody Wdeckiego Parku Krajobrazowego</t>
  </si>
  <si>
    <t>WPK</t>
  </si>
  <si>
    <t>8.6.1</t>
  </si>
  <si>
    <t>107</t>
  </si>
  <si>
    <t>Zdrowi i aktywni w pracy</t>
  </si>
  <si>
    <t>851                 85195</t>
  </si>
  <si>
    <t>9.2.2</t>
  </si>
  <si>
    <t>109</t>
  </si>
  <si>
    <t>Wykluczenie - nie ma MOWy!</t>
  </si>
  <si>
    <t>ROPS</t>
  </si>
  <si>
    <t>852
85295</t>
  </si>
  <si>
    <t>Trampolina 2</t>
  </si>
  <si>
    <t>9.3.2</t>
  </si>
  <si>
    <t>112</t>
  </si>
  <si>
    <t>Rodzina w Centrum 2</t>
  </si>
  <si>
    <t>Pogodna jesień życia na Kujawach i Pomorzu - projekt pomocy środowiskowej dla seniorów (Lider Kujawsko-Pomorski Oddział Okręgowy Polskiego Czerwonego Krzyża w Bydgoszczy)</t>
  </si>
  <si>
    <t>9.4.2</t>
  </si>
  <si>
    <t>113</t>
  </si>
  <si>
    <t>Koordynacja rozwoju ekonomii społecznej w województwie kujawsko-pomorskim</t>
  </si>
  <si>
    <t>Koordynacja rozwoju ekonomii społecznej w województwie kujawsko-pomorskim (II)</t>
  </si>
  <si>
    <t>2019 - 2023</t>
  </si>
  <si>
    <t>10.2.1</t>
  </si>
  <si>
    <t>115</t>
  </si>
  <si>
    <t>Przedszkolaki - debeściaki - edukacja przedszkolna i terapia dla dzieci z niepełnosprawnościami</t>
  </si>
  <si>
    <t>801
80105</t>
  </si>
  <si>
    <t>2019 - 2020</t>
  </si>
  <si>
    <t>10.2.2</t>
  </si>
  <si>
    <t>Region Nauk Ścisłych II - edukacja przyszłości</t>
  </si>
  <si>
    <t>801
80195</t>
  </si>
  <si>
    <t>Niebo nad Astrobazami - rozwijamy kompetencje kluczowe uczniów</t>
  </si>
  <si>
    <t>10.2.3</t>
  </si>
  <si>
    <t>118</t>
  </si>
  <si>
    <t>Szkoła Zawodowców</t>
  </si>
  <si>
    <t>10.3.1</t>
  </si>
  <si>
    <t>Prymus Pomorza i Kujaw</t>
  </si>
  <si>
    <t>854
85416</t>
  </si>
  <si>
    <t>Humaniści na start</t>
  </si>
  <si>
    <t>10.3.2</t>
  </si>
  <si>
    <t>Prymusi Zawodu Kujaw i Pomorza II</t>
  </si>
  <si>
    <t>10.4.1</t>
  </si>
  <si>
    <t>117</t>
  </si>
  <si>
    <t>W Kujawsko-Pomorskiem - Mówisz - masz - certyfikowane szkolenia językowe</t>
  </si>
  <si>
    <t>150
15013</t>
  </si>
  <si>
    <t>Wydatki realizowane i nadzorowane przez wojewódzkie jednostki organizacyjne</t>
  </si>
  <si>
    <t>Wydatki realizowane w ramach pomocy technicznej</t>
  </si>
  <si>
    <t>12.1</t>
  </si>
  <si>
    <t>121, 122</t>
  </si>
  <si>
    <t>WPD PT Sprawne zarządzanie i wdrażanie RPO WK-P 
w latach 2018-2020</t>
  </si>
  <si>
    <t>750
75018</t>
  </si>
  <si>
    <t>WUP</t>
  </si>
  <si>
    <t>853
85332</t>
  </si>
  <si>
    <t>12.2</t>
  </si>
  <si>
    <t>Skuteczna informacja i promocja, w tym wzmocnienie potencjału beneficjentów Programu</t>
  </si>
  <si>
    <t xml:space="preserve">Wydatki realizowane w ramach pomocy technicznej </t>
  </si>
  <si>
    <t xml:space="preserve">Działania i projekty realizowane przez beneficjentów zewnętrznych, którym samorząd województwa przekazuje dotacje na współfinansowanie krajowe </t>
  </si>
  <si>
    <t>6.2</t>
  </si>
  <si>
    <t>034, 054, 055, 101</t>
  </si>
  <si>
    <t>Rewitalizacja obszarów miejskich i ich obszarów funkcjonalnych</t>
  </si>
  <si>
    <t>900
90095</t>
  </si>
  <si>
    <t>X</t>
  </si>
  <si>
    <t>x</t>
  </si>
  <si>
    <t>6.4.1</t>
  </si>
  <si>
    <t>Rewitalizacja obszarów miejskich i ich obszarów funkcjonalnych w ramach ZIT</t>
  </si>
  <si>
    <t>8.2.1</t>
  </si>
  <si>
    <t>Wsparcie na rzecz podniesienia poziomu aktywności zawodowej osób pozostających bez zatrudnienia</t>
  </si>
  <si>
    <t>853
85395</t>
  </si>
  <si>
    <t>8.2.2</t>
  </si>
  <si>
    <t>102</t>
  </si>
  <si>
    <t>Wspieranie  osób odchodzących z rolnictwa i rybactwa</t>
  </si>
  <si>
    <t>8.4.1</t>
  </si>
  <si>
    <t>105</t>
  </si>
  <si>
    <t>Wsparcie zatrudnienia osób pełniących funkcje opiekuńcze</t>
  </si>
  <si>
    <t>8.5.2</t>
  </si>
  <si>
    <t>106</t>
  </si>
  <si>
    <t>Wsparcie outplacementowe</t>
  </si>
  <si>
    <t>Wsparcie na rzecz wydłużania aktywności zawodowej mieszkańców</t>
  </si>
  <si>
    <t>851            85195</t>
  </si>
  <si>
    <t>8.6.2</t>
  </si>
  <si>
    <t xml:space="preserve">Regionalne programy polityki zdrowotnej i profilaktyczne </t>
  </si>
  <si>
    <t>851            85149</t>
  </si>
  <si>
    <t>9.1.2</t>
  </si>
  <si>
    <t>Rozwój usług opiekuńczych w ramach ZIT</t>
  </si>
  <si>
    <t>852            85228</t>
  </si>
  <si>
    <t>9.3.1</t>
  </si>
  <si>
    <t>Rozwój usług zdrowotnych</t>
  </si>
  <si>
    <t>Rozwój usług społecznych</t>
  </si>
  <si>
    <t>852            85295</t>
  </si>
  <si>
    <t>9.4.1</t>
  </si>
  <si>
    <t>Rozwój podmiotów sektora ekonomii społecznej</t>
  </si>
  <si>
    <t>852            85203</t>
  </si>
  <si>
    <t>10.1.2</t>
  </si>
  <si>
    <t>Kształcenie ogólne w ramach ZIT</t>
  </si>
  <si>
    <t>801 
80195</t>
  </si>
  <si>
    <t>10.1.3</t>
  </si>
  <si>
    <t>Kształcenie zawodowe w ramach ZIT</t>
  </si>
  <si>
    <t>Kształcenie ogólne</t>
  </si>
  <si>
    <t>Kształcenie zawodowe</t>
  </si>
  <si>
    <t>Edukacja dorosłych w zakresie kompetencji cyfrowych i języków obcych</t>
  </si>
  <si>
    <t>150 
15013</t>
  </si>
  <si>
    <t>10.4.2</t>
  </si>
  <si>
    <t>Edukacja dorosłych na rzecz rynku pracy</t>
  </si>
  <si>
    <t>Działania i projekty realizowane przez beneficjentów zewnętrznych, którym samorząd województwa przekazuje dotacje na współfinansowanie krajowe</t>
  </si>
  <si>
    <t>Załącznik nr 6 do Uchwały budżetowej</t>
  </si>
  <si>
    <t>Województwa z dnia      .12.2018 r.</t>
  </si>
  <si>
    <t>Pozostałe projekty i działania realizowane ze środków zagranicznych 
Plan na 2019 rok</t>
  </si>
  <si>
    <t xml:space="preserve">Program/ Działanie </t>
  </si>
  <si>
    <t>Nazwa Projektu</t>
  </si>
  <si>
    <t>Wydatki całkowite
 w tym:</t>
  </si>
  <si>
    <t>Przewidywane wykonanie do końca 2018 r. w tym:</t>
  </si>
  <si>
    <t>Krajowy wkład publiczny</t>
  </si>
  <si>
    <t>Inne publiczne</t>
  </si>
  <si>
    <t xml:space="preserve">Wydatki realizowane przez wojewódzkie jednostki organizacyjne </t>
  </si>
  <si>
    <t>PO PT</t>
  </si>
  <si>
    <t>Punkty Informacyjne Funduszy Europejskich WK-P</t>
  </si>
  <si>
    <t>750
75095</t>
  </si>
  <si>
    <t>2014 - 2020</t>
  </si>
  <si>
    <t>PO PC
Działanie 3.2</t>
  </si>
  <si>
    <t>Buduję, koduję, programuję</t>
  </si>
  <si>
    <t>KPCENT</t>
  </si>
  <si>
    <t>PO WER
Poddziałanie 1.2.2</t>
  </si>
  <si>
    <t>Wsparcie udzielane z Inicjatywy na rzecz zatrudnienia ludzi młodych (wspólfinansowanie krajowe)</t>
  </si>
  <si>
    <t>WUP
w Toruniu</t>
  </si>
  <si>
    <t>PO WER
Działanie 2.5</t>
  </si>
  <si>
    <t>Kooperacja - efektywna i skuteczna</t>
  </si>
  <si>
    <t>ROPS
w Toruniu</t>
  </si>
  <si>
    <t>PO WER
Działanie 4.1</t>
  </si>
  <si>
    <t>Kujawsko-Pomorskie Środowiskowe Centrum Opieki Psychogeriatrycznej w Otępieniach (projekt partnerski - Partner wiodący Pallmed Sp. z o.o.)</t>
  </si>
  <si>
    <t>851
85195</t>
  </si>
  <si>
    <t>PO WER 
Pomoc Techniczna</t>
  </si>
  <si>
    <t>Pomoc Techniczna Programu Operacyjnego Wiedza Edukacja Rozwój</t>
  </si>
  <si>
    <t>2015 - 2020</t>
  </si>
  <si>
    <t xml:space="preserve">PROW
Pomoc Techniczna </t>
  </si>
  <si>
    <t>Schemat I - Wzmocnienie systemu wdrażania Programu</t>
  </si>
  <si>
    <t>010
01041</t>
  </si>
  <si>
    <t>2015 - 2023</t>
  </si>
  <si>
    <t>Schemat II - Wsparcie systemu funkcjonowania krajowej sieci obszarów wiejskich oraz realizacja działań informacyjno-promocyjnych PROW 2014-2020 (działania informacyjno-promocyjne)</t>
  </si>
  <si>
    <t>Schemat II - Wsparcie systemu funkcjonowania krajowej sieci obszarów wiejskich oraz realizacja działań informacyjno-promocyjnych PROW 2014-2020  (krajowa sieć obszarów wiejskich)</t>
  </si>
  <si>
    <t>Rybactwo i Morze 2014-2020 
Pomoc Techniczna</t>
  </si>
  <si>
    <t>Pomoc Techniczna Programu Operacyjnego Rybactwo i Morze 2014-2020</t>
  </si>
  <si>
    <t>050
05011</t>
  </si>
  <si>
    <t>PO IŚ
Działanie 2.4</t>
  </si>
  <si>
    <t>Edukacja społeczności zamieszkujących obszary chronione województwa kujawsko-pomorskiego: Lubię tu być na zielonym!</t>
  </si>
  <si>
    <t>PO IŚ
Działanie 8.1</t>
  </si>
  <si>
    <t>Młyn Kultury - Przebudowa, rozbudowa i zmiana sposobu użytkowania budynku magazynowego przy ul. Kościuszki 77 w Toruniu - na budynek o funkcji użyteczności publicznej</t>
  </si>
  <si>
    <t>INTERREG (Region Morza Bałtyckiego)</t>
  </si>
  <si>
    <t>EmpInno</t>
  </si>
  <si>
    <t>150
15095</t>
  </si>
  <si>
    <t>EMMA</t>
  </si>
  <si>
    <t>600
60095</t>
  </si>
  <si>
    <t>Watertour</t>
  </si>
  <si>
    <t>630
63095</t>
  </si>
  <si>
    <t>INTERREG (Europa)</t>
  </si>
  <si>
    <t>Niche</t>
  </si>
  <si>
    <t>INTERREG (Europa Środkowa)</t>
  </si>
  <si>
    <t>SURFACE</t>
  </si>
  <si>
    <t>HICAPS</t>
  </si>
  <si>
    <t>Program 
COSME</t>
  </si>
  <si>
    <t>CREATIVE LOCI IACOBI</t>
  </si>
  <si>
    <t>630
63003</t>
  </si>
  <si>
    <t>Digitourism</t>
  </si>
  <si>
    <t>2018 - 2023</t>
  </si>
  <si>
    <t>ECO-CICLE</t>
  </si>
  <si>
    <t>Cult-CreaTE</t>
  </si>
  <si>
    <t>ThreeT</t>
  </si>
  <si>
    <t>Załącznik nr 7 do Uchwały budżetowej</t>
  </si>
  <si>
    <t xml:space="preserve">Uchwała Nr    /    /18 Sejmiku </t>
  </si>
  <si>
    <t>Wydatki na zadania inwestycyjne</t>
  </si>
  <si>
    <t>Lp</t>
  </si>
  <si>
    <t>Rozdział</t>
  </si>
  <si>
    <t>Nazwa zadania inwestycyjnego</t>
  </si>
  <si>
    <t>Ogólny koszt zadania</t>
  </si>
  <si>
    <t>Przewidywane nakłady poniesione do końca 2018 r.</t>
  </si>
  <si>
    <t>Planowane wydatki</t>
  </si>
  <si>
    <t>Jednostka organizacyjna realizująca zadanie lub koordynująca wykonanie zadania</t>
  </si>
  <si>
    <t>na rok budżetowy 2019</t>
  </si>
  <si>
    <t>z tego źródła finansowania:</t>
  </si>
  <si>
    <t>środki własne Województwa</t>
  </si>
  <si>
    <t>dotacje</t>
  </si>
  <si>
    <t>I</t>
  </si>
  <si>
    <t>Inwestycje jednoroczne</t>
  </si>
  <si>
    <t>Budowa i modernizacja dróg dojazdowych do gruntów rolnych oraz rekultywacja i poprawa jakości gruntów rolnych</t>
  </si>
  <si>
    <t>Urząd Marszałkowski w Toruniu</t>
  </si>
  <si>
    <t>Modernizacja dróg</t>
  </si>
  <si>
    <t>Zarząd Dróg Wojewódzkich w Bydgoszczy</t>
  </si>
  <si>
    <t>Wykup gruntu</t>
  </si>
  <si>
    <t>Przebudowa mostu w ciągu drogi wojewódzkiej Nr 243 w km 18+808 w m. Byszewo</t>
  </si>
  <si>
    <t>Zakup kopiarko-drukarki</t>
  </si>
  <si>
    <t>Zakupy inwestycyjne</t>
  </si>
  <si>
    <t>Medyczno-Społeczne Centrum Kształcenia Zawodowego i Ustawicznego w Inowrocławiu</t>
  </si>
  <si>
    <t>Wykonanie klimatyzacji</t>
  </si>
  <si>
    <t>Kujawsko-Pomorskie Centrum Edukacji Nauczycieli we Włocławku</t>
  </si>
  <si>
    <t>Kujawsko-Pomorskie Centrum Edukacji Nauczycieli w Bydgoszczy</t>
  </si>
  <si>
    <t>85217</t>
  </si>
  <si>
    <t>Zakup i montaż klimatyzatorów</t>
  </si>
  <si>
    <t>Regionalny Ośrodek Polityki Społecznej w Toruniu</t>
  </si>
  <si>
    <t>85332</t>
  </si>
  <si>
    <t>Wojewódzki Urząd Pracy w Toruniu</t>
  </si>
  <si>
    <t>Zakup urządzeń wielofunkcyjnych</t>
  </si>
  <si>
    <t>85403</t>
  </si>
  <si>
    <t>Przygotowanie dokumentacji na potrzeby realizacji projektów w ramach RPO WK-P</t>
  </si>
  <si>
    <t>92106</t>
  </si>
  <si>
    <t>Modernizacja I i II balkonu w budynku głównym Teatru im. Wilama Horzycy w Toruniu</t>
  </si>
  <si>
    <t>Teatr im. W. Horzycy w Toruniu</t>
  </si>
  <si>
    <t>92109</t>
  </si>
  <si>
    <t>Zakup wyposażenia</t>
  </si>
  <si>
    <t>Pałac Lubostroń w Lubostroniu</t>
  </si>
  <si>
    <t>92118</t>
  </si>
  <si>
    <t>Przygotowanie koncepcji upamiętnienia miejsca narodzin matki Fryderyka Chopina w Długiem</t>
  </si>
  <si>
    <t>Muzeum Ziemi Kujawskiej i Dobrzyńskiej we Włocławku</t>
  </si>
  <si>
    <t>92195</t>
  </si>
  <si>
    <t>Utworzenie Ośrodka Pamięci gen. Wł. Sikorskiego w Parchaniu - pomoc finansowa</t>
  </si>
  <si>
    <t>92605</t>
  </si>
  <si>
    <t>Mała architektura i budowa infrastruktury sportowej przy obiektach edukacyjnych - wsparcie finansowe</t>
  </si>
  <si>
    <t>RAZEM</t>
  </si>
  <si>
    <t>II</t>
  </si>
  <si>
    <t>Inwestycje wieloletnie</t>
  </si>
  <si>
    <t>Przywrócenie równowagi ekologicznej na terenach gmin województwa kujawsko-pomorskiego w związku z budową autostrady A-1 w latach 2011-2015 - wsparcie finansowe</t>
  </si>
  <si>
    <t>2011-2019</t>
  </si>
  <si>
    <t>Budowa wiaduktów i przystanków kolejowych w bydgosko-toruńskim obszarze metropolitalnym - uzyskanie certyfikatów zgodności dla podsystemów i składników interoperacyjności WE w kolejnictwie</t>
  </si>
  <si>
    <t>2017-2019</t>
  </si>
  <si>
    <t>Modernizacja dróg wojewódzkich, grupa III - Kujawsko-pomorskiego planu spójności komunikacji drogowej i kolejowej 2014-2020</t>
  </si>
  <si>
    <t>2017-2020</t>
  </si>
  <si>
    <t xml:space="preserve">Zarząd Dróg Wojewódzkich w Bydgoszczy </t>
  </si>
  <si>
    <t>Opracowanie dokumentacji projektowej na przebudowę drogi wojewódzkiej Nr 562 Szpetal Górny-Dobrzyń nad Wisłą-Płock odc. Krojczyn-Szpiegowo od km 6+400 do km 9+400 dł. 3,000 km</t>
  </si>
  <si>
    <t>Roboty dodatkowe i uzupełniające związane z realizacją inwestycji drogowych w ramach grupy I RPO</t>
  </si>
  <si>
    <t>2018-2020</t>
  </si>
  <si>
    <t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wsparcie finansowe</t>
  </si>
  <si>
    <t>2017-2022</t>
  </si>
  <si>
    <t>Opracowanie dokumentacji Studium Techniczno-Ekonomiczno-Środowiskowego dla połączenia Miasta Bydgoszczy z węzłem drogowym na trasie szybkiego ruchu S5 i S10 w miejscowości Miałe Błota - wsparcie finansowe</t>
  </si>
  <si>
    <t>2018-2019</t>
  </si>
  <si>
    <t>Dokumentacje projektowe</t>
  </si>
  <si>
    <t>2014-2019</t>
  </si>
  <si>
    <t>Modernizacja nieruchomości w Toruniu przy ul. Św. Jakuba 3-5, Wola Zamkowa 8-10, 10A i 12A (rozliczenie z użytkownikiem)</t>
  </si>
  <si>
    <t>2016-2031</t>
  </si>
  <si>
    <t>Nabycie nieruchomości położonej w Toruniu przy ul. Kopernika 4</t>
  </si>
  <si>
    <t>Kultura w zasięgu 2.0 - wkład własny wojewódzkich jednostek organizacyjnych</t>
  </si>
  <si>
    <t>Rozbudowa budynku Urzędu Marszałkowskiego</t>
  </si>
  <si>
    <t>2009-2019</t>
  </si>
  <si>
    <t>Rozbudowa KPCEN we Włocławku - dokumentacja</t>
  </si>
  <si>
    <t>80395</t>
  </si>
  <si>
    <t>Rozbudowa kampusu UTP w Bydgoszczy w Fordonie (partycypacja do 30 % kosztów realizacji zadania)</t>
  </si>
  <si>
    <t>2018-2021</t>
  </si>
  <si>
    <t>85111</t>
  </si>
  <si>
    <t>Zakup ambulansów dla zespołów ratownictwa medycznego wraz z wyposażeniem medycznym w formie leasingu dla potrzeb Wojewódzkiego Szpitala Zespolonego w Toruniu</t>
  </si>
  <si>
    <t>2015-2019</t>
  </si>
  <si>
    <t>Wojewódzki Szpital Zespolony w Toruniu</t>
  </si>
  <si>
    <t>Zakup ambulansów dla zespołów ratownictwa medycznego wraz z wyposażeniem medycznym w formie leasingu przez Wojewódzki Szpital Specjalistyczny we Włocławku</t>
  </si>
  <si>
    <t>Wojewódzki Szpital Specjalistyczny we Włocławku</t>
  </si>
  <si>
    <t>85141</t>
  </si>
  <si>
    <t>Zakup ambulansów w formie leasingu przez Wojewódzką Stację Pogotowia Ratunkowego w Bydgoszczy</t>
  </si>
  <si>
    <t>2016-2020</t>
  </si>
  <si>
    <t>Wojewódzka Stacja Pogotowia Ratunkowego w Bydgoszczy</t>
  </si>
  <si>
    <t>85154</t>
  </si>
  <si>
    <t>Budowa Całodobowego Młodzieżowego Oddziału Leczenia Uzależnień przy ul. Włocławskiej 233-235 w Toruniu</t>
  </si>
  <si>
    <t>2016-2019</t>
  </si>
  <si>
    <t>Wojewódzki Ośrodek Terapii Uzależnień i Współuzależnienia w Toruniu</t>
  </si>
  <si>
    <t>90005</t>
  </si>
  <si>
    <t xml:space="preserve">92105
92106
</t>
  </si>
  <si>
    <t>Rozbudowa Opery Nova w Bydgoszczy  o IV krąg wraz z infrastrukturą parkingową</t>
  </si>
  <si>
    <t>Opera Nova w Bydgoszczy</t>
  </si>
  <si>
    <t>Nadbudowa i rozbudowa dawnego budynku kinoteatru Grunwald usytuowanego przy ul. Warszawskiej 11 w Toruniu z przeznaczeniem na teatr - Utworzenie "DUŻEJ SCENY" Kujawsko-Pomorskiego Impresaryjnego Teatru Muzycznego w Toruniu</t>
  </si>
  <si>
    <t>2019-2029</t>
  </si>
  <si>
    <t>Kujawsko-Pomorski Impresaryjny Teatr Muzyczny w Toruniu</t>
  </si>
  <si>
    <t>Przebudowa i remont konserwatorski budynku Pałacu Dąmbskich w Toruniu</t>
  </si>
  <si>
    <t>2015-2022</t>
  </si>
  <si>
    <t>92108</t>
  </si>
  <si>
    <t>Zakup sprzętu i wyposażenia dla Filharmonii Pomorskiej im. Ignacego Jana Paderewskiego w Bydgoszczy</t>
  </si>
  <si>
    <t>Filharmonia Pomorska w Bydgoszczy</t>
  </si>
  <si>
    <t>Rozbudowa i remont Filharmonii Pomorskiej w Bydgoszczy - przygotowanie dokumentacji</t>
  </si>
  <si>
    <t>III</t>
  </si>
  <si>
    <t>Inwestycje ujęte w Regionalnym Programie Operacyjnym Województwa Kujawsko-Pomorskiego 2014-2020</t>
  </si>
  <si>
    <t xml:space="preserve">              </t>
  </si>
  <si>
    <t>IV</t>
  </si>
  <si>
    <t>Pozostałe projekty i działania realizowane ze środków zagranicznych</t>
  </si>
  <si>
    <t>Załącznik nr 8 do Uchwały budżetowej</t>
  </si>
  <si>
    <t>Uchwała Nr  /   /18  Sejmiku Województwa</t>
  </si>
  <si>
    <t>z dnia   .12.2018 r.</t>
  </si>
  <si>
    <t>Załącznik nr 9 do Uchwały budżetowej</t>
  </si>
  <si>
    <t xml:space="preserve">                                                                                                                             </t>
  </si>
  <si>
    <t xml:space="preserve">z dnia    .12.2018 r.         </t>
  </si>
  <si>
    <t xml:space="preserve"> Dotacje udzielane z budżetu Województwa Kujawsko - Pomorskiego </t>
  </si>
  <si>
    <t xml:space="preserve">Dział 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</si>
  <si>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</si>
  <si>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</si>
  <si>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</si>
  <si>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</si>
  <si>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inwestycje</t>
  </si>
  <si>
    <t>bieżące</t>
  </si>
  <si>
    <t xml:space="preserve"> I DOTACJE PRZEDMIOTOWE</t>
  </si>
  <si>
    <t>Dla przewoźników komunikacji kolejowej z tytułu świadczonych usług w zakresie publicznego transportu zbiorowego</t>
  </si>
  <si>
    <t xml:space="preserve"> II DOTACJE PODMIOTOWE</t>
  </si>
  <si>
    <t>Dotacje dla instytucji kultury</t>
  </si>
  <si>
    <t xml:space="preserve">Działalność statutowa  </t>
  </si>
  <si>
    <t>Zadanie remontowe - Remont budynku</t>
  </si>
  <si>
    <t>Kujawsko-Pomorski Impresyjny Teatr Muzyczny w Toruniu</t>
  </si>
  <si>
    <t>Wojewódzki Ośrodek Animacji Kultury w Toruniu</t>
  </si>
  <si>
    <t>Kujawsko-Pomorskie Centrum Kultury w Bydgoszczy</t>
  </si>
  <si>
    <t>Ośrodek Chopinowski w Szafarni</t>
  </si>
  <si>
    <t xml:space="preserve">Działalność statutowa w tym:  </t>
  </si>
  <si>
    <t xml:space="preserve"> - ze środków własnych Województwa</t>
  </si>
  <si>
    <t xml:space="preserve"> - ze środków Gminy Radomin</t>
  </si>
  <si>
    <t>Zadanie remontowe - Remont dachu</t>
  </si>
  <si>
    <t>Galeria Sztuki "Wozownia" w Toruniu</t>
  </si>
  <si>
    <t>92110</t>
  </si>
  <si>
    <t>Galeria i Ośrodek Plastycznej Twórczości Dziecka w Torunia</t>
  </si>
  <si>
    <t>Centrum Sztuki Współczesnej "Znaki Czasu"</t>
  </si>
  <si>
    <t>92113</t>
  </si>
  <si>
    <t>Wojewódzka i Miejska Biblioteka Publiczna w Bydgoszczy</t>
  </si>
  <si>
    <t>92116</t>
  </si>
  <si>
    <t xml:space="preserve"> - ze środków Miasta Bydgoszczy</t>
  </si>
  <si>
    <t>Zadanie remontowe - Remont pomieszczeń magazynowych</t>
  </si>
  <si>
    <t>Wojewódzka Biblioteka Publiczna - Książnica Kopernikańska w Toruniu</t>
  </si>
  <si>
    <t xml:space="preserve"> - ze środków Miasta Torunia</t>
  </si>
  <si>
    <t>Zadanie remontowe - Remont budynku Ośrodka Czytelnictwa Chorych i Niepełnosprawnych przy ul. Szczytnej 13 w Toruniu</t>
  </si>
  <si>
    <t>Muzeum Etnograficzne w Toruniu</t>
  </si>
  <si>
    <t>Zadanie remontowe - Remont amfiteatru</t>
  </si>
  <si>
    <t>Muzeum Archeologiczne w Biskupinie</t>
  </si>
  <si>
    <t xml:space="preserve"> III DOTACJE CELOWE</t>
  </si>
  <si>
    <t xml:space="preserve"> Na zadania realizowane w ramach Regionalnego Programu Operacyjnego WK-P 2014-2020</t>
  </si>
  <si>
    <t>W Kujawsko-Pomorskiem Mówisz-masz - certyfikowane szkolenia językowe</t>
  </si>
  <si>
    <t>Poprawa bezpieczeństwa i komfortu życia mieszkańców oraz wsparcie niskoemisyjnego transportu drogowego poprzez wybudowanie dróg rowerowych na terenie powiatu bydgoskiego (lider gmina Koronowo, gmina Solec Kujawski, powiat bydgoski)</t>
  </si>
  <si>
    <t>Poprawa bezpieczeństwa i komfortu życia mieszkańców oraz wsparcie niskoemisyjnego transportu drogowego poprzez wybudowanie dróg dla rowerów - przy drodze wojewódzkiej Nr 551 Wybcz-Nawra, Nawra-Bogusławki oraz Zelgno (lider: Gmina Chełmża)</t>
  </si>
  <si>
    <t>85149</t>
  </si>
  <si>
    <t>Regionalne programy polityki zdrowotnej i profilaktyczne</t>
  </si>
  <si>
    <t>85195</t>
  </si>
  <si>
    <t>Wsparcie na rzecz wydłużenia aktywności zawodowej</t>
  </si>
  <si>
    <t>85203</t>
  </si>
  <si>
    <t>85228</t>
  </si>
  <si>
    <t>85295</t>
  </si>
  <si>
    <t>85395</t>
  </si>
  <si>
    <t>Wsparcie osób odchodzących z rolnictwa i rybactwa</t>
  </si>
  <si>
    <t>90026</t>
  </si>
  <si>
    <t>90095</t>
  </si>
  <si>
    <t xml:space="preserve"> Na zadania realizowane w ramach Programu Operacyjnego Wiedza Edukacja i Rozwój</t>
  </si>
  <si>
    <t>2.5</t>
  </si>
  <si>
    <t>1.2.2</t>
  </si>
  <si>
    <t>Wsparcie udzielone z inicjatywy na rzecz zatrudnienia ludzi młodych</t>
  </si>
  <si>
    <t xml:space="preserve"> Na zadania realizowane w ramach Programu Rozwoju Obszarów Wiejskich 2014-2020</t>
  </si>
  <si>
    <t>PT PROW 2014-2020 - Schemat II - Wsparcie funkcjonowania krajowej sieci obszarów wiejskich oraz realizacja działań informacyjno-promocyjnych PROW 2014-2020 (krajowa sieć obszarów wiejskich)</t>
  </si>
  <si>
    <t>Na pozostałe zadania</t>
  </si>
  <si>
    <t>Bieżące utrzymanie wód i urządzeń wodnych - konserwacja, naprawa urządzeń melioracji wodnych (spółki wodne)</t>
  </si>
  <si>
    <t>Przywrócenie równowagi ekologicznej na terenach gmin województwa kujawsko-pomorskiego w związku z budową autostrady A-1 w latach 2011-2015</t>
  </si>
  <si>
    <t>Realizacja ustawy o ochronie gruntów rolnych i leśnych</t>
  </si>
  <si>
    <t>Organizacja dożynek</t>
  </si>
  <si>
    <t>GOSPOSTRATEG - Usytuowanie na poziomie samorządów lokalnych instrumentów wsparcia dla MŚP działających w oparciu o model wielopoziomowego zarządzania regionem</t>
  </si>
  <si>
    <t>Kolejowe regionalne i międzywojewódzkie przewozy pasażerskie</t>
  </si>
  <si>
    <r>
      <t xml:space="preserve"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</t>
    </r>
    <r>
      <rPr>
        <b/>
        <i/>
        <sz val="10"/>
        <color indexed="8"/>
        <rFont val="Times New Roman CE"/>
        <family val="0"/>
      </rPr>
      <t>wsparcie finansowe</t>
    </r>
  </si>
  <si>
    <r>
      <t xml:space="preserve">Opracowanie dokumentacji Studium Techniczno-Ekonomiczno-Środowiskowego dla połączenia Miasta Bydgoszczy z węzłem drogowym na trasie szybkiego ruchu S5 i S10 w miejscowości Białe Błota - </t>
    </r>
    <r>
      <rPr>
        <b/>
        <i/>
        <sz val="10"/>
        <color indexed="8"/>
        <rFont val="Times New Roman CE"/>
        <family val="0"/>
      </rPr>
      <t>wsparcie finansowe</t>
    </r>
  </si>
  <si>
    <t>Rewitalizacja międzynarodowych dróg wodnych (E40 i E70) na terenie województwa kujawsko-pomorskiego</t>
  </si>
  <si>
    <r>
      <t>Zadania w zakresie turystyki i krajoznawstwa -</t>
    </r>
    <r>
      <rPr>
        <b/>
        <i/>
        <sz val="10"/>
        <color indexed="8"/>
        <rFont val="Times New Roman CE"/>
        <family val="0"/>
      </rPr>
      <t xml:space="preserve"> (GRANTY)</t>
    </r>
  </si>
  <si>
    <t>Watertour (Interreg Region Morza Bałtyckiego)</t>
  </si>
  <si>
    <r>
      <t>Działalność na rzecz organizacji pozarządowych -</t>
    </r>
    <r>
      <rPr>
        <b/>
        <i/>
        <sz val="10"/>
        <color indexed="8"/>
        <rFont val="Times New Roman CE"/>
        <family val="0"/>
      </rPr>
      <t xml:space="preserve"> (GRANTY)</t>
    </r>
  </si>
  <si>
    <t>Rozbudowa kampusu UTP w Bydgoszczy w Fordonie (partycypacja do 30% kosztów realizacji zadania)</t>
  </si>
  <si>
    <r>
      <t xml:space="preserve">Zakup ambulansów dla zespołów ratownictwa medycznego wraz z wyposażeniem medycznym w formie leasingu dla potrzeb Wojewódzkiego Szpitala Zespolonego w Toruniu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Wojewódzki Szpital Zespolony  im. L. Rydygiera w Toruniu</t>
    </r>
  </si>
  <si>
    <r>
      <t xml:space="preserve">Zakup ambulansów dla zespołów ratownictwa medycznego wraz z wyposażeniem medycznym w formie leasingu przez Wojewódzki Szpital Specjalistyczny we Włocławku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Wojewódzki Szpital Specjalistyczny we Włocławku</t>
    </r>
  </si>
  <si>
    <r>
      <t xml:space="preserve">Zakup ambulansów w formie leasingu przez Wojewódzką Stację Pogotowia Ratunkowego w Bydgoszczy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Wojewódzka Stacja Pogotowia Ratunkowego w Bydgoszczy</t>
    </r>
  </si>
  <si>
    <r>
      <t>Ochrona i promocja zdrowia -</t>
    </r>
    <r>
      <rPr>
        <b/>
        <i/>
        <sz val="10"/>
        <color indexed="8"/>
        <rFont val="Times New Roman CE"/>
        <family val="0"/>
      </rPr>
      <t xml:space="preserve"> (GRANTY)</t>
    </r>
  </si>
  <si>
    <t>Województwo Promujące Zdrowie</t>
  </si>
  <si>
    <t>85153</t>
  </si>
  <si>
    <r>
      <t>Przeciwdziałanie narkomanii w województwie kujawsko-pomorskim -</t>
    </r>
    <r>
      <rPr>
        <b/>
        <i/>
        <sz val="10"/>
        <color indexed="8"/>
        <rFont val="Times New Roman CE"/>
        <family val="0"/>
      </rPr>
      <t xml:space="preserve"> (GRANTY)</t>
    </r>
  </si>
  <si>
    <t>Przeciwdziałanie alkoholizmowi i innym uzależnieniom</t>
  </si>
  <si>
    <r>
      <t>Program - Aktywizacja środowisk wiejskich w zakresie rozwiązywania problemów alkoholowych</t>
    </r>
    <r>
      <rPr>
        <b/>
        <i/>
        <sz val="10"/>
        <color indexed="8"/>
        <rFont val="Times New Roman CE"/>
        <family val="0"/>
      </rPr>
      <t xml:space="preserve"> (GRANTY)</t>
    </r>
  </si>
  <si>
    <r>
      <t>Rozwiązywanie problemów alkoholowych w województwie kujawsko-pomorskim -</t>
    </r>
    <r>
      <rPr>
        <b/>
        <i/>
        <sz val="10"/>
        <color indexed="8"/>
        <rFont val="Times New Roman CE"/>
        <family val="0"/>
      </rPr>
      <t xml:space="preserve"> (GRANTY)</t>
    </r>
  </si>
  <si>
    <r>
      <t xml:space="preserve">Budowa Całodobowego Młodzieżowego Oddziału Leczenia Uzależnień przy ul. Włocławskiej 233-235 w Toruniu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0"/>
      </rPr>
      <t xml:space="preserve">
</t>
    </r>
    <r>
      <rPr>
        <i/>
        <sz val="10"/>
        <color indexed="8"/>
        <rFont val="Times New Roman CE"/>
        <family val="0"/>
      </rPr>
      <t>Wojewódzki Ośrodek Terapii Uzależnień i Współuzależnienia w Toruniu</t>
    </r>
  </si>
  <si>
    <t>85205</t>
  </si>
  <si>
    <r>
      <t xml:space="preserve">Przeciwdziałanie przemocy w rodzinie - </t>
    </r>
    <r>
      <rPr>
        <b/>
        <i/>
        <sz val="10"/>
        <color indexed="8"/>
        <rFont val="Times New Roman CE"/>
        <family val="0"/>
      </rPr>
      <t>(GRANTY)</t>
    </r>
  </si>
  <si>
    <t>Wojewódzki Program przeciwdziałania przemocy w rodzinie dla województwa kujawsko-pomorskiego do roku 2020 - Kujawsko-Pomorska Niebieska Linia</t>
  </si>
  <si>
    <r>
      <t>Wspieranie zajęć rozwojowych dla dzieci i młodzieży zagrożonych wykluczeniem społecznym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</si>
  <si>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prac wychowawczych z dziećmi i młodzieżą, realizowanych przez organizacje młodzieżowe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</si>
  <si>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aktywizacji i integracji społecznej seniorów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</si>
  <si>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rodzin w wypełnianiu funkcji rodzicielskich -</t>
    </r>
    <r>
      <rPr>
        <b/>
        <i/>
        <sz val="10"/>
        <color indexed="8"/>
        <rFont val="Times New Roman CE"/>
        <family val="0"/>
      </rPr>
      <t xml:space="preserve"> (GRANTY)</t>
    </r>
  </si>
  <si>
    <t>85311</t>
  </si>
  <si>
    <t xml:space="preserve">Dofinansowanie kosztów działalności Zakładów Aktywności Zawodowej </t>
  </si>
  <si>
    <r>
      <t>Wsparcie działań z zakresu opieki nad osobami przewlekle chorymi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</si>
  <si>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Zwiększenie dostępu osób z niepełnosprawnością do lecznictwa specjalistycznego, terapii i rehabilitacji -</t>
    </r>
    <r>
      <rPr>
        <b/>
        <i/>
        <sz val="10"/>
        <color indexed="8"/>
        <rFont val="Times New Roman CE"/>
        <family val="0"/>
      </rPr>
      <t xml:space="preserve"> (GRANTY)</t>
    </r>
  </si>
  <si>
    <t>85415</t>
  </si>
  <si>
    <t xml:space="preserve">Stypendia dla uczniów </t>
  </si>
  <si>
    <t>85495</t>
  </si>
  <si>
    <t>Remont nowej siedziby ZHR w Toruniu</t>
  </si>
  <si>
    <t>85509</t>
  </si>
  <si>
    <r>
      <t>Wspieranie działań z zakresu opieki adopcyjno-wychowawczej -</t>
    </r>
    <r>
      <rPr>
        <b/>
        <i/>
        <sz val="10"/>
        <color indexed="8"/>
        <rFont val="Times New Roman CE"/>
        <family val="0"/>
      </rPr>
      <t xml:space="preserve"> (GRANTY)</t>
    </r>
  </si>
  <si>
    <r>
      <t xml:space="preserve">Edukacja społeczności zamieszkujących obszary chronione województwa kujawsko-pomorskiego: Lubię tu być na zielonym! </t>
    </r>
    <r>
      <rPr>
        <b/>
        <i/>
        <sz val="10"/>
        <color indexed="8"/>
        <rFont val="Times New Roman CE"/>
        <family val="0"/>
      </rPr>
      <t>(POIŚ)</t>
    </r>
  </si>
  <si>
    <t>92105</t>
  </si>
  <si>
    <r>
      <t xml:space="preserve">Rozbudowa Opery Nova w Bydgoszczy o IV krąg wraz z infrastrukturą parkingową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Opera NOVA w Bydgoszczy</t>
    </r>
  </si>
  <si>
    <r>
      <t xml:space="preserve">Modernizacja I i II balkonu w budynku głównym Teatru im. Wilama Horzycy w Toruniu
</t>
    </r>
    <r>
      <rPr>
        <i/>
        <sz val="10"/>
        <color indexed="8"/>
        <rFont val="Times New Roman CE"/>
        <family val="0"/>
      </rPr>
      <t>Teatr im. W. Horzycy w Toruniu</t>
    </r>
  </si>
  <si>
    <r>
      <rPr>
        <sz val="10"/>
        <color indexed="8"/>
        <rFont val="Times New Roman CE"/>
        <family val="0"/>
      </rPr>
      <t>Przebudowa i remont konserwatorski budynku Pałacu Dąmbskich w Toruniu</t>
    </r>
    <r>
      <rPr>
        <b/>
        <i/>
        <sz val="10"/>
        <color indexed="8"/>
        <rFont val="Times New Roman CE"/>
        <family val="0"/>
      </rPr>
      <t xml:space="preserve"> 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Kujawsko-Pomorski Impresaryjny Teatr Muzyczny w Toruniu</t>
    </r>
  </si>
  <si>
    <r>
      <t>Nadbudowa i rozbudowa dawnego budynku kinoteatru Grunwald usytuowanego przy ul. Warszawskiej 11 w Toruniu z przeznaczeniem na teatr - Utworzenie "DUŻEJ SCENY" Kujawsko-Pomorskiego Impresaryjnego Teatru Muzycznego w Toruniu</t>
    </r>
    <r>
      <rPr>
        <b/>
        <i/>
        <sz val="10"/>
        <color indexed="8"/>
        <rFont val="Times New Roman CE"/>
        <family val="0"/>
      </rPr>
      <t xml:space="preserve"> 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Kujawsko-Pomorski Impresaryjny Teatr Muzyczny w Toruniu</t>
    </r>
  </si>
  <si>
    <r>
      <t xml:space="preserve">Zakup sprzętu i wyposażenia dla Filharmonii Pomorskiej im. Ignacego Jana Paderewskiego w Bydgoszczy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Filharmonia Pomorska w Bydgoszczy</t>
    </r>
  </si>
  <si>
    <r>
      <t xml:space="preserve">Rozbudowa i remont Filharmonii Pomorskiej w Bydgoszczy - przygotowanie dokumentacji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Filharmonia Pomorska w Bydgoszczy</t>
    </r>
  </si>
  <si>
    <r>
      <t xml:space="preserve">Zakup wyposażenia
</t>
    </r>
    <r>
      <rPr>
        <i/>
        <sz val="10"/>
        <color indexed="8"/>
        <rFont val="Times New Roman CE"/>
        <family val="0"/>
      </rPr>
      <t>Pałac Lubostroń w Lubostroniu</t>
    </r>
  </si>
  <si>
    <r>
      <t xml:space="preserve">Ogólnopolski Konkurs Malarski im. Teofila Ociepki
</t>
    </r>
    <r>
      <rPr>
        <i/>
        <sz val="10"/>
        <color indexed="8"/>
        <rFont val="Times New Roman CE"/>
        <family val="0"/>
      </rPr>
      <t>Kujawsko-Pomorskie Centrum Kultury w Bydgoszczy</t>
    </r>
  </si>
  <si>
    <r>
      <t xml:space="preserve">Festiwal Książki Obrazkowej dla dzieci "LiterObrazki"
</t>
    </r>
    <r>
      <rPr>
        <i/>
        <sz val="10"/>
        <color indexed="8"/>
        <rFont val="Times New Roman CE"/>
        <family val="0"/>
      </rPr>
      <t>Wojewódzka i Miejska Biblioteka Publiczna w Bydgoszczy</t>
    </r>
  </si>
  <si>
    <r>
      <t xml:space="preserve">Kultura cyfrowa - Od skarbów renesansu do dwudziestowiecznej Bydgoszczy
</t>
    </r>
    <r>
      <rPr>
        <i/>
        <sz val="10"/>
        <color indexed="8"/>
        <rFont val="Times New Roman CE"/>
        <family val="0"/>
      </rPr>
      <t>Wojewódzka i Miejska Biblioteka Publiczna w Bydgoszczy</t>
    </r>
  </si>
  <si>
    <t>Dofinansowanie Muzeum Ziemi Pałuckiej w Żninie - wsparcie finansowe</t>
  </si>
  <si>
    <r>
      <t>Przygotowanie koncepcji upamiętnienia miejsca narodzin matki Fryderyka Chopina w Długiem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Muzeum Ziemi Kujawskiej i Dobrzyńskiej we Włocławku</t>
    </r>
  </si>
  <si>
    <t>92120</t>
  </si>
  <si>
    <t>Ochrona i zachowanie materialnego dziedzictwa kulturowego regionu</t>
  </si>
  <si>
    <r>
      <t>Zadania w zakresie kultury, sztuki, ochrony dóbr kultury i dziedzictwa narodowego -</t>
    </r>
    <r>
      <rPr>
        <b/>
        <i/>
        <sz val="10"/>
        <color indexed="8"/>
        <rFont val="Times New Roman CE"/>
        <family val="0"/>
      </rPr>
      <t xml:space="preserve"> (GRANTY)</t>
    </r>
  </si>
  <si>
    <t>Upowszechnianie Kultury</t>
  </si>
  <si>
    <r>
      <t xml:space="preserve">Krzewienie pamięci historycznej poprzez renowację miejsc pamięci narodowej - </t>
    </r>
    <r>
      <rPr>
        <b/>
        <i/>
        <sz val="10"/>
        <color indexed="8"/>
        <rFont val="Times New Roman CE"/>
        <family val="0"/>
      </rPr>
      <t>pomoc finansowa</t>
    </r>
  </si>
  <si>
    <r>
      <t xml:space="preserve">"Park kulturowy Wietrzychowice" w Wietrzychowicach i Gaju - wsparcie działań gminy Izbica Kujawska - </t>
    </r>
    <r>
      <rPr>
        <b/>
        <i/>
        <sz val="10"/>
        <color indexed="8"/>
        <rFont val="Times New Roman CE"/>
        <family val="0"/>
      </rPr>
      <t>wsparcie finansowe</t>
    </r>
  </si>
  <si>
    <r>
      <t xml:space="preserve">Utworzenie Ośrodka Pamięci gen. Wł. Sikorskiego w Parchaniu - </t>
    </r>
    <r>
      <rPr>
        <b/>
        <i/>
        <sz val="10"/>
        <color indexed="8"/>
        <rFont val="Times New Roman CE"/>
        <family val="0"/>
      </rPr>
      <t>pomoc finansowa</t>
    </r>
  </si>
  <si>
    <r>
      <t xml:space="preserve">Festiwale organizowane przez Teatr im. W. Horzycy w Toruniu
</t>
    </r>
    <r>
      <rPr>
        <i/>
        <sz val="10"/>
        <color indexed="8"/>
        <rFont val="Times New Roman CE"/>
        <family val="0"/>
      </rPr>
      <t>Teatr im. W. Horzycy w Toruniu</t>
    </r>
  </si>
  <si>
    <r>
      <t xml:space="preserve">Bydgoski Festiwal Operowy
</t>
    </r>
    <r>
      <rPr>
        <i/>
        <sz val="10"/>
        <color indexed="8"/>
        <rFont val="Times New Roman CE"/>
        <family val="0"/>
      </rPr>
      <t>Opera NOVA w Bydgoszczy</t>
    </r>
  </si>
  <si>
    <r>
      <t xml:space="preserve">Bydgoski Festiwal Muzyczny
</t>
    </r>
    <r>
      <rPr>
        <i/>
        <sz val="10"/>
        <color indexed="8"/>
        <rFont val="Times New Roman CE"/>
        <family val="0"/>
      </rPr>
      <t>Filharmonia Pomorska w Bydgoszczy</t>
    </r>
  </si>
  <si>
    <r>
      <t xml:space="preserve">Międzynarodowy Konkurs Pianistyczny im. Fryderyka Chopina dla Dzieci i Młodzieży w Szafarni 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Ośrodek Chopinowski w Szafarni</t>
    </r>
  </si>
  <si>
    <r>
      <t>Zadania w zakresie upowszechniania kultury fizycznej i sportu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</si>
  <si>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Programy Sportu Powszechnego -</t>
    </r>
    <r>
      <rPr>
        <b/>
        <i/>
        <sz val="10"/>
        <color indexed="8"/>
        <rFont val="Times New Roman CE"/>
        <family val="0"/>
      </rPr>
      <t xml:space="preserve"> (GRANTY)</t>
    </r>
  </si>
  <si>
    <r>
      <t xml:space="preserve">Mała architektura i budowa infrastruktury sportowej przy obiektach edukacyjnych - </t>
    </r>
    <r>
      <rPr>
        <b/>
        <i/>
        <sz val="10"/>
        <color indexed="8"/>
        <rFont val="Times New Roman CE"/>
        <family val="0"/>
      </rPr>
      <t>wsparcie finansowe</t>
    </r>
  </si>
  <si>
    <t>Objaśnienia:</t>
  </si>
  <si>
    <t>IW - Inwestycje wieloletnie</t>
  </si>
  <si>
    <t xml:space="preserve">Zadania z zakresu administracji rządowej zlecone ustawami Samorządowi Województwa </t>
  </si>
  <si>
    <t xml:space="preserve">Dział Rozdział
 </t>
  </si>
  <si>
    <t>DOCHODY</t>
  </si>
  <si>
    <t>WYDATKI</t>
  </si>
  <si>
    <t>Plan</t>
  </si>
  <si>
    <t>ZADANIE - RYBACTWO ŚRÓDLĄDOWE</t>
  </si>
  <si>
    <t>Dotacje na zadania bieżące</t>
  </si>
  <si>
    <t>ZADANIE - KRAJOWE PASAŻERSKIE PRZEWOZY AUTOBUSOWE</t>
  </si>
  <si>
    <t>ZADANIE - UPRAWNIENIA KOMUNIKACYJNE</t>
  </si>
  <si>
    <t>Pozostałe wydatki bieżące</t>
  </si>
  <si>
    <t>ZADANIE - USŁUGI TURYSTYCZNE</t>
  </si>
  <si>
    <t>ZADANIE - PRACE GEOLOGICZNE</t>
  </si>
  <si>
    <t>ZADANIE - PRACE GEODEZYJNE I KARTOGRAFICZNE</t>
  </si>
  <si>
    <t>ZADANIE - OBSŁUGA KUJAWSKO-POMORSKIEJ RADY DIALOGU SPOŁECZNEGO</t>
  </si>
  <si>
    <t>ZADANIE - OBRONA NARODOWA</t>
  </si>
  <si>
    <t>85156</t>
  </si>
  <si>
    <t>ZADANIE - UBEZPIECZENIE ZDROWOTNE UCZNIÓW</t>
  </si>
  <si>
    <t>ZADANIE - OCHRONA ZDROWIA PSYCHICZNEGO</t>
  </si>
  <si>
    <t>ZADANIE - SŁUŻBA ZASTĘPCZA</t>
  </si>
  <si>
    <t>ZADANIE - GRANTY - WSPIERANIE DZIAŁAŃ Z ZAKRESU OPIEKI ADOPCYJNO-OPIEKUŃCZEJ</t>
  </si>
  <si>
    <t>Dotacje celowe z budżetu jednostek samorządu terytorialnego</t>
  </si>
  <si>
    <t>ZADANIE - KUJAWSKO-POMORSKI OŚRODEK ADOPCYJNY W TORUNIU - UTRZYMANIE JEDNOSTKI</t>
  </si>
  <si>
    <t>ZADANIE - PROGRAMY OCHRONY POWIETRZA</t>
  </si>
  <si>
    <t>90007</t>
  </si>
  <si>
    <t>ZADANIE - PROGRAMY OCHRONY PRZED HAŁASEM</t>
  </si>
  <si>
    <t>ZADANIE - OCHRONA ŚRODOWISKA</t>
  </si>
  <si>
    <t>wynagrodzenia z pochodnymi</t>
  </si>
  <si>
    <t>wydatki bieżące</t>
  </si>
  <si>
    <t>dotacje celowe z budżetu jednostek samorządu terytorialnego</t>
  </si>
  <si>
    <t xml:space="preserve">                                                                  Załącznik nr 10 do Uchwały budżetowej</t>
  </si>
  <si>
    <t xml:space="preserve">                                                                  Uchwała Nr  /   /18  Sejmiku Województwa</t>
  </si>
  <si>
    <t xml:space="preserve">                                                                   z dnia   .12.2018 r.</t>
  </si>
  <si>
    <t>Załącznik nr 11 do Uchwały budżetowej</t>
  </si>
  <si>
    <t xml:space="preserve">Uchwała Nr   /    /18 Sejmiku </t>
  </si>
  <si>
    <t xml:space="preserve">Województwa z dnia   .12.2018 r.                              </t>
  </si>
  <si>
    <t>Dochody i wydatki na zadania wykonywane</t>
  </si>
  <si>
    <t>na mocy porozumień z organami administracji rządowej</t>
  </si>
  <si>
    <t xml:space="preserve">Dochody </t>
  </si>
  <si>
    <t>Wydatki ogółem</t>
  </si>
  <si>
    <t>Organ administracji rządowej</t>
  </si>
  <si>
    <t xml:space="preserve"> Rodzaj zadania</t>
  </si>
  <si>
    <t>Wojewoda Kujawsko-Pomorski</t>
  </si>
  <si>
    <t>Pomoc Techniczna PROW 2014-2020 - Schemat I - Wzmocnienie systemu wdrażania Programu</t>
  </si>
  <si>
    <t>Pomoc Techniczna PROW 2014-2020 - Schemat II - Wsparcie funkcjonowania krajowej sieci obszarów wiejskich oraz realizacja działań informacyjno-promocyjnych PROW 2014-2020 (działania informacyjno-promocyjne)</t>
  </si>
  <si>
    <t>Pomoc Techniczna PROW 2014-2020 - Schemat II - Wsparcie funkcjonowania krajowej sieci obszarów wiejskich oraz realizacja działań informacyjno-promocyjnych PROW 2014-2020 (krajowa sieć obszarów wiejskich)</t>
  </si>
  <si>
    <t>Pomoc Techniczna Programu Operacyjnego "Rybactwo i Morze 2014-2020"</t>
  </si>
  <si>
    <t>Minister Inwestycji i Rozwoju</t>
  </si>
  <si>
    <t>Punkty Informacyjne Funduszy Europejskich Województwa Kujawsko-Pomorskiego - Program Operacyjny Pomoc Techniczna</t>
  </si>
  <si>
    <t xml:space="preserve">                                                                                          </t>
  </si>
  <si>
    <t>Załącznik nr 12 do Uchwały budżetowej</t>
  </si>
  <si>
    <t xml:space="preserve">                                                                                            </t>
  </si>
  <si>
    <t xml:space="preserve">                                                                         </t>
  </si>
  <si>
    <t xml:space="preserve">z dnia  .12.2018 r.    </t>
  </si>
  <si>
    <t>Dochody i wydatki na zadania realizowane w drodze</t>
  </si>
  <si>
    <t>umów i porozumień między jednostkami samorządu terytorialnego</t>
  </si>
  <si>
    <t>Dochody od JST</t>
  </si>
  <si>
    <t>Jednostka Samorządu Terytorialnego</t>
  </si>
  <si>
    <t>Województwo Mazowieckie</t>
  </si>
  <si>
    <t>Województwo Pomorskie</t>
  </si>
  <si>
    <t>Gmina Dobrzyń nad Wisłą</t>
  </si>
  <si>
    <t>Opracowanie dokumentacji projektowej na przebudowę drogi wojewódzkiej Nr 562 Szpetal Górny - Dobrzyń nad Wisłą - Płock odc. Krojczyn - Szpiegowo od km 6+400 do km 9+400 dł. 3,000 km</t>
  </si>
  <si>
    <t>Gminy
Powiaty</t>
  </si>
  <si>
    <r>
      <t xml:space="preserve">Ograniczenie emisji spalin poprzez rozbudowę dróg rowerowych znajdujących się w koncepcji rozwoju systemu transportu Bydgosko-Toruńskiego Obszaru Funkcjonalnego dla: Części nr 1 - Nawra-Kończewice-Chełmża-Zalesie-Kiełbasin-Mlewo-Mlewiec-Srebrniki-Sierakowo w ciągu dróg wojewódzkich nr 551, 649, 554 - </t>
    </r>
    <r>
      <rPr>
        <b/>
        <i/>
        <sz val="10"/>
        <rFont val="Times New Roman CE"/>
        <family val="0"/>
      </rPr>
      <t>RPO, Dz.3.5.2</t>
    </r>
  </si>
  <si>
    <r>
      <t xml:space="preserve">Ograniczenie emisji spalin poprzez rozbudowę dróg rowerowych znajdujących się w koncepcji rozwoju systemu transportu Bydgosko-Toruńskiego Obszaru Funkcjonalnego dla: Części nr 2 - Złotoria - Nowa Wieś - Lubicz Górny  w ciągu drogi wojewódzkiej nr 657 - </t>
    </r>
    <r>
      <rPr>
        <b/>
        <i/>
        <sz val="10"/>
        <rFont val="Times New Roman CE"/>
        <family val="0"/>
      </rPr>
      <t>RPO, Dz.3.5.2</t>
    </r>
  </si>
  <si>
    <r>
      <t xml:space="preserve">Ograniczenie emisji spalin poprzez rozbudowę dróg rowerowych znajdujących się w koncepcji rozwoju systemu transportu Bydgosko-Toruńskiego Obszaru Funkcjonalnego dla: Części nr 3 - Toruń - Mała Nieszawka - Wielka Nieszawka - Cierpice  w ciągu drogi wojewódzkiej nr 273 - </t>
    </r>
    <r>
      <rPr>
        <b/>
        <i/>
        <sz val="10"/>
        <rFont val="Times New Roman CE"/>
        <family val="0"/>
      </rPr>
      <t>RPO, Dz.3.5.2</t>
    </r>
  </si>
  <si>
    <t>Gminy</t>
  </si>
  <si>
    <r>
      <t>Rozbudowa drogi wojewódzkiej Nr 251 Kaliska-Inowrocław na odcinku od km 19+649 (od granicy województwa kujawsko-pomorskiego do km 34+200 oraz od km 34+590,30 do km 35+290) wraz z przebudową mostu na rzece Gąsawka w miejscowości Żnin -</t>
    </r>
    <r>
      <rPr>
        <b/>
        <i/>
        <sz val="10"/>
        <rFont val="Times New Roman CE"/>
        <family val="0"/>
      </rPr>
      <t xml:space="preserve"> RPO, Dz.5.1</t>
    </r>
  </si>
  <si>
    <r>
      <t xml:space="preserve">Przebudowa drogi wojewódzkiej Nr 249 wraz z uruchomieniem przeprawy promowej przez Wisłę na wysokości Solca Kujawskiego i Czarnowa - </t>
    </r>
    <r>
      <rPr>
        <b/>
        <i/>
        <sz val="10"/>
        <rFont val="Times New Roman CE"/>
        <family val="0"/>
      </rPr>
      <t>RPO, Dz.5.1</t>
    </r>
  </si>
  <si>
    <r>
      <t>Rozbudowa drogi wojewódzkiej Nr 548 Stolno-Wąbrzeźno od km 0+005 do km 29+619 z wyłączeniem węzła autostradowego w m. Lisewo od km 14+144 do km 15+146 -</t>
    </r>
    <r>
      <rPr>
        <b/>
        <i/>
        <sz val="10"/>
        <rFont val="Times New Roman CE"/>
        <family val="0"/>
      </rPr>
      <t xml:space="preserve"> RPO, Dz.5.1</t>
    </r>
  </si>
  <si>
    <r>
      <t xml:space="preserve">Przebudowa i rozbudowa drogi wojewódzkiej Nr 559 na odcinku Lipno - Kamień Kotowy - granica województwa - </t>
    </r>
    <r>
      <rPr>
        <b/>
        <i/>
        <sz val="10"/>
        <rFont val="Times New Roman CE"/>
        <family val="0"/>
      </rPr>
      <t>RPO, Dz.5.1</t>
    </r>
  </si>
  <si>
    <r>
      <t xml:space="preserve">Rozbudowa drogi wojewódzkiej Nr 240 Chojnice-Świecie od km 23+190 do km 36+817 i od km 62+877 do km 65+718 - </t>
    </r>
    <r>
      <rPr>
        <b/>
        <i/>
        <sz val="10"/>
        <rFont val="Times New Roman CE"/>
        <family val="0"/>
      </rPr>
      <t>RPO, Dz.5.1</t>
    </r>
  </si>
  <si>
    <t>Program "Przeciwdziałanie wykluczeniu cyfrowemu osób najuboższych oraz niepełnosprawnych"</t>
  </si>
  <si>
    <r>
      <t xml:space="preserve">Infostrada Kujaw i Pomorza 2.0 - </t>
    </r>
    <r>
      <rPr>
        <b/>
        <i/>
        <sz val="10"/>
        <rFont val="Times New Roman CE"/>
        <family val="0"/>
      </rPr>
      <t>RPO, Dz.2.1</t>
    </r>
  </si>
  <si>
    <r>
      <t xml:space="preserve">Invest in BiT CITY 2. Promocja potencjału gospodarczego oraz promocja atrakcyjności inwestycyjnej miast prezydenckich województwa kujawsko-pomorskiego - </t>
    </r>
    <r>
      <rPr>
        <b/>
        <i/>
        <sz val="10"/>
        <rFont val="Times New Roman CE"/>
        <family val="0"/>
      </rPr>
      <t>RPO, Dz.1.5.2</t>
    </r>
  </si>
  <si>
    <r>
      <t xml:space="preserve">Expressway - promocja terenów inwestycyjnych - </t>
    </r>
    <r>
      <rPr>
        <b/>
        <i/>
        <sz val="10"/>
        <rFont val="Times New Roman CE"/>
        <family val="0"/>
      </rPr>
      <t>RPO, Dz.1.5.2</t>
    </r>
  </si>
  <si>
    <r>
      <t xml:space="preserve">Dokształcanie uczniów
</t>
    </r>
    <r>
      <rPr>
        <i/>
        <sz val="10"/>
        <rFont val="Times New Roman CE"/>
        <family val="0"/>
      </rPr>
      <t>Kujawsko-Pomorski Okręgowy Ośrodek Dokształcania i Doskonalenia Zawodowego w Bydgoszczy</t>
    </r>
  </si>
  <si>
    <t>Kujawsko-Pomorska Niebieska Linia - przeciwdziałanie przemocy w rodzinie</t>
  </si>
  <si>
    <t>92105
92106</t>
  </si>
  <si>
    <t>Miasto Bydgoszcz</t>
  </si>
  <si>
    <t>Rozbudowa Opery Nova w Bydgoszczy o IV krąg wraz z infrastrukturą parkingową</t>
  </si>
  <si>
    <t>Gmina Radomin</t>
  </si>
  <si>
    <t>Dofinansowanie działalności statutowej Ośrodka Chopinowskiego w Szafarni</t>
  </si>
  <si>
    <t>Dofinansowanie działalności statutowej Wojewódzkiej i Miejskiej Biblioteki Publicznej w Bydgoszczy</t>
  </si>
  <si>
    <t>Miasto Toruń</t>
  </si>
  <si>
    <t>Dofinansowanie działalności statutowej Wojewódzkiej Biblioteki Publicznej - Książnicy Kopernikańskiej w Toruniu</t>
  </si>
  <si>
    <t>92502</t>
  </si>
  <si>
    <t>Miasto Grudziądz</t>
  </si>
  <si>
    <r>
      <t xml:space="preserve">Modernizacja zagrody wiejskiej w Dusocinie na potrzeby ośrodka edukacji ekologicznej na terenie Parku Krajobrazowego "Góry Łosiowe" wraz z czynną ochroną przyrody na obszarze Natura 2000 - </t>
    </r>
    <r>
      <rPr>
        <b/>
        <i/>
        <sz val="10"/>
        <rFont val="Times New Roman CE"/>
        <family val="0"/>
      </rPr>
      <t>RPO, Dz.4.5</t>
    </r>
  </si>
  <si>
    <t>RPO - Regionalny Program Operacyjny Województwa Kujawsko-Pomorskiego</t>
  </si>
  <si>
    <t>uchwała Nr    /   /18 Sejmiku Województwa</t>
  </si>
  <si>
    <t>Dochody gromadzone na wydzielonych rachunkach oraz wydatki nimi finansowane</t>
  </si>
  <si>
    <t>Jednostka</t>
  </si>
  <si>
    <t>Stan środków pieniężnych na początek okresu</t>
  </si>
  <si>
    <t>Stan środków pieniężnych na koniec okresu</t>
  </si>
  <si>
    <t>1.</t>
  </si>
  <si>
    <t>2.</t>
  </si>
  <si>
    <t>3.</t>
  </si>
  <si>
    <t>4.</t>
  </si>
  <si>
    <t>5.</t>
  </si>
  <si>
    <t>6.</t>
  </si>
  <si>
    <t>7.</t>
  </si>
  <si>
    <t xml:space="preserve">Biblioteka Pedagogiczna im. gen. bryg. prof. Elżbiety Zawackiej 
w Toruniu </t>
  </si>
  <si>
    <t>Kujawsko-Pomorskie Centrum Edukacji Nauczycieli w Toruniu</t>
  </si>
  <si>
    <t>Kujawsko-Pomorski Ośrodek Dokształcania i Doskonalenia Zawodowego w Bydgoszczy</t>
  </si>
  <si>
    <t>Kujawsko-Pomorski Specjalny Ośrodek Szkolno-Wychowawczy 
im. Janusza Korczaka w Toruniu</t>
  </si>
  <si>
    <t>Kujawsko-Pomorski Specjalny Ośrodek Szkolno-Wychowawczy 
nr 1 dla Dzieci i Młodzieży Słabo Widzącej i Niewidomej im. Louisa Braille'a w Bydgoszczy</t>
  </si>
  <si>
    <t>8.</t>
  </si>
  <si>
    <t>Kujawsko-Pomorski Specjalny Ośrodek Szkolno-Wychowawczy 
nr 2 dla Dzieci Młodzieży Słabo Słyszącej i Niesłyszącej im. gen. Stanisława Maczka w Bydgoszczy</t>
  </si>
  <si>
    <t>9.</t>
  </si>
  <si>
    <t>Medyczno-Społeczne Centrum Kształcenia Zawodowego 
i Ustawicznego w Inowrocławiu</t>
  </si>
  <si>
    <t>10.</t>
  </si>
  <si>
    <t>Medyczno-Społeczne Centrum Kształcenia Zawodowego 
i Ustawicznego w Toruniu</t>
  </si>
  <si>
    <t>11.</t>
  </si>
  <si>
    <t>Pedagogiczna Biblioteka Wojewódzka im. Mariana Rejewskiego 
w Bydgoszczy</t>
  </si>
  <si>
    <t>Załącznik nr 13 do Uchwały budżetowej</t>
  </si>
  <si>
    <t xml:space="preserve">z dnia   .12.2018 r.           </t>
  </si>
  <si>
    <t xml:space="preserve">                                                                                                    Załącznik nr 2 do Uchwały budżetowej </t>
  </si>
  <si>
    <t xml:space="preserve">                                                                                                    Uchwała Nr    /   /18 Sejmiku Województwa</t>
  </si>
  <si>
    <t xml:space="preserve">                                                                                                    z dnia    .12.2018 r.</t>
  </si>
  <si>
    <t xml:space="preserve">Plan dochodów uzyskiwanych w realizacji zadań zleconych </t>
  </si>
  <si>
    <t>z zakresu administracji rządowej na 2019 rok</t>
  </si>
  <si>
    <t>Dział           Rozdział
§</t>
  </si>
  <si>
    <t>Zadanie</t>
  </si>
  <si>
    <t>w tym należne do:</t>
  </si>
  <si>
    <t>Budżetu Państwa</t>
  </si>
  <si>
    <t>Budżetu Województwa</t>
  </si>
  <si>
    <t>4a</t>
  </si>
  <si>
    <t>4b</t>
  </si>
  <si>
    <t>Opłaty z tytułu wydawania zaświadczeń ADR i ich wtórników</t>
  </si>
  <si>
    <t>Opłaty związane z zaszeregowaniem obiektu hotelarskiego do określonego rodzaju i kategorii</t>
  </si>
  <si>
    <t>Wynagrodzenie z tytułu ustanowienia użytkowania górniczego</t>
  </si>
  <si>
    <t>75046</t>
  </si>
  <si>
    <t>Opłaty za przeprowadzenie egzaminu w zakresie gospodarowania odpadami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</si>
</sst>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0.0"/>
    <numFmt numFmtId="179" formatCode="#,##0.000"/>
    <numFmt numFmtId="180" formatCode="#,##0.0000"/>
    <numFmt numFmtId="181" formatCode="#,##0.00\ &quot;zł&quot;"/>
    <numFmt numFmtId="182" formatCode="#,##0;[Red]#,##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.000\ _z_ł_-;\-* #,##0.000\ _z_ł_-;_-* &quot;-&quot;??\ _z_ł_-;_-@_-"/>
    <numFmt numFmtId="188" formatCode="_-* #,##0.0\ _z_ł_-;\-* #,##0.0\ _z_ł_-;_-* &quot;-&quot;??\ _z_ł_-;_-@_-"/>
    <numFmt numFmtId="189" formatCode="_-* #,##0\ _z_ł_-;\-* #,##0\ _z_ł_-;_-* &quot;-&quot;??\ _z_ł_-;_-@_-"/>
    <numFmt numFmtId="190" formatCode="#,##0_ ;\-#,##0\ "/>
    <numFmt numFmtId="191" formatCode="_-* #,##0.0000\ _z_ł_-;\-* #,##0.0000\ _z_ł_-;_-* &quot;-&quot;??\ _z_ł_-;_-@_-"/>
    <numFmt numFmtId="192" formatCode="[$-415]d\ mmmm\ yyyy"/>
    <numFmt numFmtId="193" formatCode="#,##0.00_ ;\-#,##0.00\ "/>
    <numFmt numFmtId="194" formatCode="_-* #,##0.000\ &quot;zł&quot;_-;\-* #,##0.000\ &quot;zł&quot;_-;_-* &quot;-&quot;???\ &quot;zł&quot;_-;_-@_-"/>
    <numFmt numFmtId="195" formatCode="0_ ;\-0\ "/>
    <numFmt numFmtId="196" formatCode="_-* #,##0.00\ _z_ł_-;\-* #,##0.00\ _z_ł_-;_-* \-??\ _z_ł_-;_-@_-"/>
    <numFmt numFmtId="197" formatCode="0.00000000"/>
    <numFmt numFmtId="198" formatCode="0.0000000"/>
    <numFmt numFmtId="199" formatCode="#,##0.0000000000000000000000000"/>
    <numFmt numFmtId="200" formatCode="0.000000000"/>
    <numFmt numFmtId="201" formatCode="0.000%"/>
    <numFmt numFmtId="202" formatCode="0.0000%"/>
    <numFmt numFmtId="203" formatCode="#,##0.0000\ &quot;zł&quot;;[Red]\-#,##0.0000\ &quot;zł&quot;"/>
    <numFmt numFmtId="204" formatCode="[$-F400]h:mm:ss\ AM/PM"/>
    <numFmt numFmtId="205" formatCode="#,##0\ &quot;zł&quot;"/>
    <numFmt numFmtId="206" formatCode="#,##0.00000"/>
  </numFmts>
  <fonts count="10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 PL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name val="Times New Roman C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sz val="11"/>
      <name val="Times New Roman CE"/>
      <family val="1"/>
    </font>
    <font>
      <b/>
      <i/>
      <sz val="11"/>
      <name val="Times New Roman CE"/>
      <family val="0"/>
    </font>
    <font>
      <b/>
      <i/>
      <sz val="10"/>
      <name val="Times New Roman CE"/>
      <family val="0"/>
    </font>
    <font>
      <i/>
      <sz val="11"/>
      <name val="Times New Roman CE"/>
      <family val="0"/>
    </font>
    <font>
      <b/>
      <i/>
      <u val="single"/>
      <sz val="10"/>
      <name val="Times New Roman CE"/>
      <family val="0"/>
    </font>
    <font>
      <sz val="12"/>
      <name val="Times New Roman"/>
      <family val="1"/>
    </font>
    <font>
      <b/>
      <sz val="16"/>
      <name val="Times New Roman CE"/>
      <family val="0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sz val="8"/>
      <name val="Arial CE"/>
      <family val="2"/>
    </font>
    <font>
      <sz val="9"/>
      <name val="Times New Roman CE"/>
      <family val="1"/>
    </font>
    <font>
      <b/>
      <sz val="11"/>
      <color indexed="8"/>
      <name val="Calibri"/>
      <family val="2"/>
    </font>
    <font>
      <b/>
      <sz val="18"/>
      <name val="Times New Roman CE"/>
      <family val="1"/>
    </font>
    <font>
      <b/>
      <sz val="12"/>
      <name val="Arial CE"/>
      <family val="0"/>
    </font>
    <font>
      <b/>
      <sz val="13"/>
      <name val="Times New Roman CE"/>
      <family val="0"/>
    </font>
    <font>
      <sz val="12"/>
      <name val="Times New Roman CE"/>
      <family val="0"/>
    </font>
    <font>
      <sz val="11"/>
      <name val="Times New Roman"/>
      <family val="1"/>
    </font>
    <font>
      <b/>
      <i/>
      <sz val="8"/>
      <name val="Times New Roman CE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 CE"/>
      <family val="1"/>
    </font>
    <font>
      <b/>
      <i/>
      <sz val="10"/>
      <color indexed="8"/>
      <name val="Times New Roman CE"/>
      <family val="0"/>
    </font>
    <font>
      <b/>
      <i/>
      <sz val="10"/>
      <color indexed="8"/>
      <name val="Times New Roman"/>
      <family val="1"/>
    </font>
    <font>
      <b/>
      <sz val="10"/>
      <color indexed="8"/>
      <name val="Times New Roman CE"/>
      <family val="0"/>
    </font>
    <font>
      <i/>
      <sz val="10"/>
      <color indexed="8"/>
      <name val="Times New Roman CE"/>
      <family val="0"/>
    </font>
    <font>
      <b/>
      <i/>
      <sz val="11"/>
      <color indexed="8"/>
      <name val="Times New Roman CE"/>
      <family val="0"/>
    </font>
    <font>
      <b/>
      <i/>
      <sz val="11"/>
      <color indexed="8"/>
      <name val="Times New Roman"/>
      <family val="1"/>
    </font>
    <font>
      <u val="single"/>
      <sz val="11"/>
      <name val="Times New Roman CE"/>
      <family val="1"/>
    </font>
    <font>
      <sz val="11"/>
      <name val="Times New Roman CE"/>
      <family val="1"/>
    </font>
    <font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5" borderId="1" applyNumberFormat="0" applyAlignment="0" applyProtection="0"/>
    <xf numFmtId="0" fontId="82" fillId="26" borderId="2" applyNumberFormat="0" applyAlignment="0" applyProtection="0"/>
    <xf numFmtId="0" fontId="8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8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1" fillId="26" borderId="1" applyNumberFormat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31" borderId="0" applyNumberFormat="0" applyBorder="0" applyAlignment="0" applyProtection="0"/>
  </cellStyleXfs>
  <cellXfs count="1205">
    <xf numFmtId="0" fontId="0" fillId="0" borderId="0" xfId="0" applyAlignment="1">
      <alignment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49" fontId="22" fillId="0" borderId="0" xfId="0" applyNumberFormat="1" applyFont="1" applyFill="1" applyAlignment="1" applyProtection="1">
      <alignment horizontal="left"/>
      <protection/>
    </xf>
    <xf numFmtId="0" fontId="27" fillId="0" borderId="11" xfId="0" applyFont="1" applyFill="1" applyBorder="1" applyAlignment="1" applyProtection="1">
      <alignment horizontal="left" vertical="center" wrapText="1"/>
      <protection/>
    </xf>
    <xf numFmtId="0" fontId="27" fillId="0" borderId="12" xfId="0" applyFont="1" applyFill="1" applyBorder="1" applyAlignment="1" applyProtection="1">
      <alignment horizontal="left" vertical="center" wrapText="1"/>
      <protection/>
    </xf>
    <xf numFmtId="49" fontId="3" fillId="0" borderId="0" xfId="68" applyNumberFormat="1" applyFont="1" applyFill="1" applyAlignment="1" applyProtection="1">
      <alignment horizontal="center" vertical="center"/>
      <protection/>
    </xf>
    <xf numFmtId="49" fontId="4" fillId="0" borderId="0" xfId="68" applyNumberFormat="1" applyFont="1" applyFill="1" applyAlignment="1" applyProtection="1">
      <alignment horizontal="center" vertical="center" wrapText="1"/>
      <protection/>
    </xf>
    <xf numFmtId="0" fontId="3" fillId="0" borderId="0" xfId="68" applyFont="1" applyFill="1" applyAlignment="1" applyProtection="1">
      <alignment vertical="center"/>
      <protection/>
    </xf>
    <xf numFmtId="0" fontId="4" fillId="0" borderId="0" xfId="68" applyFont="1" applyFill="1" applyAlignment="1" applyProtection="1">
      <alignment vertical="center"/>
      <protection/>
    </xf>
    <xf numFmtId="0" fontId="4" fillId="0" borderId="0" xfId="68" applyFont="1" applyAlignment="1" applyProtection="1">
      <alignment vertical="center"/>
      <protection/>
    </xf>
    <xf numFmtId="0" fontId="4" fillId="0" borderId="0" xfId="68" applyFont="1" applyFill="1" applyBorder="1" applyAlignment="1" applyProtection="1">
      <alignment horizontal="center" vertical="center"/>
      <protection/>
    </xf>
    <xf numFmtId="2" fontId="4" fillId="0" borderId="0" xfId="68" applyNumberFormat="1" applyFont="1" applyFill="1" applyBorder="1" applyAlignment="1" applyProtection="1">
      <alignment horizontal="center" vertical="center"/>
      <protection/>
    </xf>
    <xf numFmtId="2" fontId="3" fillId="0" borderId="0" xfId="68" applyNumberFormat="1" applyFont="1" applyFill="1" applyAlignment="1" applyProtection="1">
      <alignment horizontal="center" vertical="center" wrapText="1"/>
      <protection/>
    </xf>
    <xf numFmtId="2" fontId="4" fillId="0" borderId="10" xfId="68" applyNumberFormat="1" applyFont="1" applyFill="1" applyBorder="1" applyAlignment="1" applyProtection="1">
      <alignment horizontal="center" vertical="center" wrapText="1"/>
      <protection/>
    </xf>
    <xf numFmtId="2" fontId="4" fillId="0" borderId="13" xfId="68" applyNumberFormat="1" applyFont="1" applyFill="1" applyBorder="1" applyAlignment="1" applyProtection="1">
      <alignment horizontal="center" vertical="center" wrapText="1"/>
      <protection/>
    </xf>
    <xf numFmtId="49" fontId="14" fillId="0" borderId="14" xfId="68" applyNumberFormat="1" applyFont="1" applyFill="1" applyBorder="1" applyAlignment="1" applyProtection="1">
      <alignment horizontal="center" vertical="center" wrapText="1"/>
      <protection/>
    </xf>
    <xf numFmtId="49" fontId="15" fillId="0" borderId="15" xfId="68" applyNumberFormat="1" applyFont="1" applyFill="1" applyBorder="1" applyAlignment="1" applyProtection="1">
      <alignment horizontal="center" vertical="center" wrapText="1"/>
      <protection/>
    </xf>
    <xf numFmtId="49" fontId="14" fillId="0" borderId="10" xfId="68" applyNumberFormat="1" applyFont="1" applyFill="1" applyBorder="1" applyAlignment="1" applyProtection="1">
      <alignment horizontal="center" vertical="center" wrapText="1"/>
      <protection/>
    </xf>
    <xf numFmtId="49" fontId="14" fillId="0" borderId="15" xfId="68" applyNumberFormat="1" applyFont="1" applyFill="1" applyBorder="1" applyAlignment="1" applyProtection="1">
      <alignment horizontal="center" vertical="center" wrapText="1"/>
      <protection/>
    </xf>
    <xf numFmtId="49" fontId="14" fillId="0" borderId="13" xfId="68" applyNumberFormat="1" applyFont="1" applyFill="1" applyBorder="1" applyAlignment="1" applyProtection="1">
      <alignment horizontal="center" vertical="center" wrapText="1"/>
      <protection/>
    </xf>
    <xf numFmtId="49" fontId="14" fillId="0" borderId="16" xfId="68" applyNumberFormat="1" applyFont="1" applyFill="1" applyBorder="1" applyAlignment="1" applyProtection="1">
      <alignment horizontal="center" vertical="center" wrapText="1"/>
      <protection/>
    </xf>
    <xf numFmtId="49" fontId="14" fillId="0" borderId="0" xfId="68" applyNumberFormat="1" applyFont="1" applyFill="1" applyAlignment="1" applyProtection="1">
      <alignment horizontal="center" vertical="center" wrapText="1"/>
      <protection/>
    </xf>
    <xf numFmtId="49" fontId="14" fillId="0" borderId="17" xfId="68" applyNumberFormat="1" applyFont="1" applyFill="1" applyBorder="1" applyAlignment="1" applyProtection="1">
      <alignment horizontal="center" vertical="center" wrapText="1"/>
      <protection/>
    </xf>
    <xf numFmtId="49" fontId="16" fillId="0" borderId="18" xfId="68" applyNumberFormat="1" applyFont="1" applyFill="1" applyBorder="1" applyAlignment="1" applyProtection="1">
      <alignment horizontal="center" vertical="center" wrapText="1"/>
      <protection/>
    </xf>
    <xf numFmtId="49" fontId="17" fillId="0" borderId="18" xfId="68" applyNumberFormat="1" applyFont="1" applyFill="1" applyBorder="1" applyAlignment="1" applyProtection="1">
      <alignment horizontal="center" vertical="center" wrapText="1"/>
      <protection/>
    </xf>
    <xf numFmtId="49" fontId="14" fillId="0" borderId="18" xfId="68" applyNumberFormat="1" applyFont="1" applyFill="1" applyBorder="1" applyAlignment="1" applyProtection="1">
      <alignment horizontal="center" vertical="center" wrapText="1"/>
      <protection/>
    </xf>
    <xf numFmtId="49" fontId="14" fillId="0" borderId="19" xfId="68" applyNumberFormat="1" applyFont="1" applyFill="1" applyBorder="1" applyAlignment="1" applyProtection="1">
      <alignment horizontal="center" vertical="center" wrapText="1"/>
      <protection/>
    </xf>
    <xf numFmtId="49" fontId="14" fillId="0" borderId="20" xfId="68" applyNumberFormat="1" applyFont="1" applyFill="1" applyBorder="1" applyAlignment="1" applyProtection="1">
      <alignment horizontal="center" vertical="center" wrapText="1"/>
      <protection/>
    </xf>
    <xf numFmtId="49" fontId="14" fillId="0" borderId="0" xfId="68" applyNumberFormat="1" applyFont="1" applyAlignment="1" applyProtection="1">
      <alignment horizontal="center" vertical="center" wrapText="1"/>
      <protection/>
    </xf>
    <xf numFmtId="49" fontId="3" fillId="2" borderId="21" xfId="68" applyNumberFormat="1" applyFont="1" applyFill="1" applyBorder="1" applyAlignment="1" applyProtection="1">
      <alignment horizontal="center" vertical="center" wrapText="1"/>
      <protection/>
    </xf>
    <xf numFmtId="3" fontId="18" fillId="2" borderId="22" xfId="68" applyNumberFormat="1" applyFont="1" applyFill="1" applyBorder="1" applyAlignment="1" applyProtection="1">
      <alignment horizontal="left" vertical="center" wrapText="1"/>
      <protection/>
    </xf>
    <xf numFmtId="3" fontId="3" fillId="32" borderId="23" xfId="68" applyNumberFormat="1" applyFont="1" applyFill="1" applyBorder="1" applyAlignment="1" applyProtection="1">
      <alignment horizontal="right" vertical="center" wrapText="1"/>
      <protection/>
    </xf>
    <xf numFmtId="3" fontId="3" fillId="2" borderId="24" xfId="68" applyNumberFormat="1" applyFont="1" applyFill="1" applyBorder="1" applyAlignment="1" applyProtection="1">
      <alignment horizontal="right" vertical="center" wrapText="1"/>
      <protection/>
    </xf>
    <xf numFmtId="3" fontId="3" fillId="2" borderId="25" xfId="68" applyNumberFormat="1" applyFont="1" applyFill="1" applyBorder="1" applyAlignment="1" applyProtection="1">
      <alignment horizontal="right" vertical="center" wrapText="1"/>
      <protection/>
    </xf>
    <xf numFmtId="3" fontId="3" fillId="2" borderId="26" xfId="68" applyNumberFormat="1" applyFont="1" applyFill="1" applyBorder="1" applyAlignment="1" applyProtection="1">
      <alignment horizontal="right" vertical="center" wrapText="1"/>
      <protection/>
    </xf>
    <xf numFmtId="3" fontId="4" fillId="0" borderId="0" xfId="68" applyNumberFormat="1" applyFont="1" applyAlignment="1" applyProtection="1">
      <alignment vertical="center" wrapText="1"/>
      <protection/>
    </xf>
    <xf numFmtId="49" fontId="3" fillId="0" borderId="27" xfId="68" applyNumberFormat="1" applyFont="1" applyBorder="1" applyAlignment="1" applyProtection="1">
      <alignment horizontal="center" vertical="center" wrapText="1"/>
      <protection/>
    </xf>
    <xf numFmtId="3" fontId="5" fillId="0" borderId="28" xfId="68" applyNumberFormat="1" applyFont="1" applyBorder="1" applyAlignment="1" applyProtection="1">
      <alignment horizontal="center" vertical="center" wrapText="1"/>
      <protection/>
    </xf>
    <xf numFmtId="3" fontId="3" fillId="0" borderId="28" xfId="68" applyNumberFormat="1" applyFont="1" applyFill="1" applyBorder="1" applyAlignment="1" applyProtection="1">
      <alignment vertical="center" wrapText="1"/>
      <protection/>
    </xf>
    <xf numFmtId="3" fontId="5" fillId="0" borderId="28" xfId="68" applyNumberFormat="1" applyFont="1" applyBorder="1" applyAlignment="1" applyProtection="1">
      <alignment vertical="center" wrapText="1"/>
      <protection/>
    </xf>
    <xf numFmtId="3" fontId="3" fillId="0" borderId="28" xfId="68" applyNumberFormat="1" applyFont="1" applyBorder="1" applyAlignment="1" applyProtection="1">
      <alignment horizontal="right" vertical="center" wrapText="1"/>
      <protection/>
    </xf>
    <xf numFmtId="3" fontId="3" fillId="0" borderId="0" xfId="68" applyNumberFormat="1" applyFont="1" applyBorder="1" applyAlignment="1" applyProtection="1">
      <alignment horizontal="right" vertical="center" wrapText="1"/>
      <protection/>
    </xf>
    <xf numFmtId="3" fontId="3" fillId="0" borderId="29" xfId="68" applyNumberFormat="1" applyFont="1" applyBorder="1" applyAlignment="1" applyProtection="1">
      <alignment horizontal="right" vertical="center" wrapText="1"/>
      <protection/>
    </xf>
    <xf numFmtId="3" fontId="3" fillId="0" borderId="30" xfId="68" applyNumberFormat="1" applyFont="1" applyBorder="1" applyAlignment="1" applyProtection="1">
      <alignment horizontal="right" vertical="center" wrapText="1"/>
      <protection/>
    </xf>
    <xf numFmtId="3" fontId="3" fillId="0" borderId="31" xfId="68" applyNumberFormat="1" applyFont="1" applyBorder="1" applyAlignment="1" applyProtection="1">
      <alignment horizontal="right" vertical="center" wrapText="1"/>
      <protection/>
    </xf>
    <xf numFmtId="3" fontId="4" fillId="0" borderId="0" xfId="68" applyNumberFormat="1" applyFont="1" applyAlignment="1" applyProtection="1">
      <alignment horizontal="center" vertical="center" wrapText="1"/>
      <protection/>
    </xf>
    <xf numFmtId="49" fontId="4" fillId="0" borderId="32" xfId="68" applyNumberFormat="1" applyFont="1" applyFill="1" applyBorder="1" applyAlignment="1" applyProtection="1">
      <alignment horizontal="center" vertical="center" wrapText="1"/>
      <protection/>
    </xf>
    <xf numFmtId="3" fontId="4" fillId="0" borderId="33" xfId="68" applyNumberFormat="1" applyFont="1" applyFill="1" applyBorder="1" applyAlignment="1" applyProtection="1">
      <alignment horizontal="left" vertical="center" wrapText="1"/>
      <protection/>
    </xf>
    <xf numFmtId="3" fontId="3" fillId="0" borderId="34" xfId="68" applyNumberFormat="1" applyFont="1" applyFill="1" applyBorder="1" applyAlignment="1" applyProtection="1">
      <alignment horizontal="right" vertical="center" wrapText="1"/>
      <protection/>
    </xf>
    <xf numFmtId="3" fontId="4" fillId="0" borderId="35" xfId="68" applyNumberFormat="1" applyFont="1" applyFill="1" applyBorder="1" applyAlignment="1" applyProtection="1">
      <alignment horizontal="right" vertical="center" wrapText="1"/>
      <protection/>
    </xf>
    <xf numFmtId="3" fontId="4" fillId="0" borderId="33" xfId="68" applyNumberFormat="1" applyFont="1" applyFill="1" applyBorder="1" applyAlignment="1" applyProtection="1">
      <alignment horizontal="right" vertical="center" wrapText="1"/>
      <protection/>
    </xf>
    <xf numFmtId="3" fontId="4" fillId="0" borderId="36" xfId="68" applyNumberFormat="1" applyFont="1" applyFill="1" applyBorder="1" applyAlignment="1" applyProtection="1">
      <alignment horizontal="right" vertical="center" wrapText="1"/>
      <protection/>
    </xf>
    <xf numFmtId="3" fontId="4" fillId="0" borderId="37" xfId="68" applyNumberFormat="1" applyFont="1" applyFill="1" applyBorder="1" applyAlignment="1" applyProtection="1">
      <alignment horizontal="right" vertical="center" wrapText="1"/>
      <protection/>
    </xf>
    <xf numFmtId="3" fontId="4" fillId="0" borderId="38" xfId="68" applyNumberFormat="1" applyFont="1" applyFill="1" applyBorder="1" applyAlignment="1" applyProtection="1">
      <alignment horizontal="right" vertical="center" wrapText="1"/>
      <protection/>
    </xf>
    <xf numFmtId="3" fontId="4" fillId="0" borderId="0" xfId="68" applyNumberFormat="1" applyFont="1" applyFill="1" applyAlignment="1" applyProtection="1">
      <alignment vertical="center" wrapText="1"/>
      <protection/>
    </xf>
    <xf numFmtId="49" fontId="4" fillId="0" borderId="39" xfId="68" applyNumberFormat="1" applyFont="1" applyFill="1" applyBorder="1" applyAlignment="1" applyProtection="1">
      <alignment horizontal="center" vertical="center" wrapText="1"/>
      <protection/>
    </xf>
    <xf numFmtId="3" fontId="4" fillId="0" borderId="40" xfId="68" applyNumberFormat="1" applyFont="1" applyFill="1" applyBorder="1" applyAlignment="1" applyProtection="1">
      <alignment horizontal="left" vertical="center" wrapText="1"/>
      <protection/>
    </xf>
    <xf numFmtId="3" fontId="3" fillId="0" borderId="10" xfId="68" applyNumberFormat="1" applyFont="1" applyFill="1" applyBorder="1" applyAlignment="1" applyProtection="1">
      <alignment horizontal="right" vertical="center" wrapText="1"/>
      <protection/>
    </xf>
    <xf numFmtId="3" fontId="4" fillId="0" borderId="41" xfId="68" applyNumberFormat="1" applyFont="1" applyFill="1" applyBorder="1" applyAlignment="1" applyProtection="1">
      <alignment horizontal="right" vertical="center" wrapText="1"/>
      <protection/>
    </xf>
    <xf numFmtId="3" fontId="4" fillId="0" borderId="42" xfId="68" applyNumberFormat="1" applyFont="1" applyFill="1" applyBorder="1" applyAlignment="1" applyProtection="1">
      <alignment horizontal="right" vertical="center" wrapText="1"/>
      <protection/>
    </xf>
    <xf numFmtId="3" fontId="4" fillId="0" borderId="43" xfId="68" applyNumberFormat="1" applyFont="1" applyFill="1" applyBorder="1" applyAlignment="1" applyProtection="1">
      <alignment horizontal="right" vertical="center" wrapText="1"/>
      <protection/>
    </xf>
    <xf numFmtId="3" fontId="4" fillId="0" borderId="40" xfId="68" applyNumberFormat="1" applyFont="1" applyFill="1" applyBorder="1" applyAlignment="1" applyProtection="1">
      <alignment horizontal="right" vertical="center" wrapText="1"/>
      <protection/>
    </xf>
    <xf numFmtId="3" fontId="4" fillId="0" borderId="44" xfId="68" applyNumberFormat="1" applyFont="1" applyFill="1" applyBorder="1" applyAlignment="1" applyProtection="1">
      <alignment horizontal="right" vertical="center" wrapText="1"/>
      <protection/>
    </xf>
    <xf numFmtId="49" fontId="4" fillId="0" borderId="45" xfId="68" applyNumberFormat="1" applyFont="1" applyFill="1" applyBorder="1" applyAlignment="1" applyProtection="1">
      <alignment horizontal="center" vertical="center"/>
      <protection/>
    </xf>
    <xf numFmtId="49" fontId="4" fillId="0" borderId="15" xfId="68" applyNumberFormat="1" applyFont="1" applyFill="1" applyBorder="1" applyAlignment="1" applyProtection="1">
      <alignment horizontal="left" vertical="center" wrapText="1"/>
      <protection/>
    </xf>
    <xf numFmtId="3" fontId="4" fillId="0" borderId="10" xfId="68" applyNumberFormat="1" applyFont="1" applyFill="1" applyBorder="1" applyAlignment="1" applyProtection="1">
      <alignment vertical="center"/>
      <protection/>
    </xf>
    <xf numFmtId="3" fontId="4" fillId="0" borderId="46" xfId="68" applyNumberFormat="1" applyFont="1" applyFill="1" applyBorder="1" applyAlignment="1" applyProtection="1">
      <alignment vertical="center"/>
      <protection/>
    </xf>
    <xf numFmtId="3" fontId="4" fillId="0" borderId="13" xfId="68" applyNumberFormat="1" applyFont="1" applyFill="1" applyBorder="1" applyAlignment="1" applyProtection="1">
      <alignment vertical="center"/>
      <protection/>
    </xf>
    <xf numFmtId="3" fontId="4" fillId="0" borderId="16" xfId="68" applyNumberFormat="1" applyFont="1" applyFill="1" applyBorder="1" applyAlignment="1" applyProtection="1">
      <alignment vertical="center"/>
      <protection/>
    </xf>
    <xf numFmtId="0" fontId="3" fillId="0" borderId="0" xfId="68" applyFont="1" applyFill="1" applyAlignment="1" applyProtection="1">
      <alignment vertical="center"/>
      <protection/>
    </xf>
    <xf numFmtId="3" fontId="4" fillId="0" borderId="15" xfId="68" applyNumberFormat="1" applyFont="1" applyFill="1" applyBorder="1" applyAlignment="1" applyProtection="1">
      <alignment vertical="center"/>
      <protection/>
    </xf>
    <xf numFmtId="49" fontId="4" fillId="0" borderId="14" xfId="68" applyNumberFormat="1" applyFont="1" applyFill="1" applyBorder="1" applyAlignment="1" applyProtection="1">
      <alignment horizontal="center" vertical="center"/>
      <protection/>
    </xf>
    <xf numFmtId="49" fontId="4" fillId="0" borderId="10" xfId="68" applyNumberFormat="1" applyFont="1" applyFill="1" applyBorder="1" applyAlignment="1" applyProtection="1">
      <alignment horizontal="left" vertical="center" wrapText="1"/>
      <protection/>
    </xf>
    <xf numFmtId="49" fontId="3" fillId="0" borderId="47" xfId="68" applyNumberFormat="1" applyFont="1" applyBorder="1" applyAlignment="1" applyProtection="1">
      <alignment horizontal="center" vertical="center" wrapText="1"/>
      <protection/>
    </xf>
    <xf numFmtId="3" fontId="5" fillId="0" borderId="48" xfId="68" applyNumberFormat="1" applyFont="1" applyBorder="1" applyAlignment="1" applyProtection="1">
      <alignment horizontal="center" vertical="center" wrapText="1"/>
      <protection/>
    </xf>
    <xf numFmtId="3" fontId="3" fillId="0" borderId="48" xfId="68" applyNumberFormat="1" applyFont="1" applyFill="1" applyBorder="1" applyAlignment="1" applyProtection="1">
      <alignment vertical="center" wrapText="1"/>
      <protection/>
    </xf>
    <xf numFmtId="3" fontId="5" fillId="0" borderId="48" xfId="68" applyNumberFormat="1" applyFont="1" applyBorder="1" applyAlignment="1" applyProtection="1">
      <alignment vertical="center" wrapText="1"/>
      <protection/>
    </xf>
    <xf numFmtId="3" fontId="3" fillId="0" borderId="48" xfId="68" applyNumberFormat="1" applyFont="1" applyBorder="1" applyAlignment="1" applyProtection="1">
      <alignment horizontal="right" vertical="center" wrapText="1"/>
      <protection/>
    </xf>
    <xf numFmtId="3" fontId="3" fillId="0" borderId="49" xfId="68" applyNumberFormat="1" applyFont="1" applyBorder="1" applyAlignment="1" applyProtection="1">
      <alignment horizontal="right" vertical="center" wrapText="1"/>
      <protection/>
    </xf>
    <xf numFmtId="3" fontId="3" fillId="0" borderId="50" xfId="68" applyNumberFormat="1" applyFont="1" applyBorder="1" applyAlignment="1" applyProtection="1">
      <alignment horizontal="right" vertical="center" wrapText="1"/>
      <protection/>
    </xf>
    <xf numFmtId="3" fontId="3" fillId="0" borderId="51" xfId="68" applyNumberFormat="1" applyFont="1" applyBorder="1" applyAlignment="1" applyProtection="1">
      <alignment horizontal="right" vertical="center" wrapText="1"/>
      <protection/>
    </xf>
    <xf numFmtId="49" fontId="4" fillId="0" borderId="32" xfId="68" applyNumberFormat="1" applyFont="1" applyFill="1" applyBorder="1" applyAlignment="1" applyProtection="1">
      <alignment horizontal="center" vertical="center"/>
      <protection/>
    </xf>
    <xf numFmtId="49" fontId="4" fillId="0" borderId="33" xfId="68" applyNumberFormat="1" applyFont="1" applyFill="1" applyBorder="1" applyAlignment="1" applyProtection="1">
      <alignment horizontal="left" vertical="center" wrapText="1"/>
      <protection/>
    </xf>
    <xf numFmtId="3" fontId="3" fillId="0" borderId="35" xfId="68" applyNumberFormat="1" applyFont="1" applyFill="1" applyBorder="1" applyAlignment="1" applyProtection="1">
      <alignment horizontal="right" vertical="center" wrapText="1"/>
      <protection/>
    </xf>
    <xf numFmtId="3" fontId="4" fillId="0" borderId="35" xfId="68" applyNumberFormat="1" applyFont="1" applyFill="1" applyBorder="1" applyAlignment="1" applyProtection="1">
      <alignment vertical="center"/>
      <protection/>
    </xf>
    <xf numFmtId="3" fontId="4" fillId="0" borderId="33" xfId="68" applyNumberFormat="1" applyFont="1" applyFill="1" applyBorder="1" applyAlignment="1" applyProtection="1">
      <alignment vertical="center"/>
      <protection/>
    </xf>
    <xf numFmtId="3" fontId="4" fillId="0" borderId="36" xfId="68" applyNumberFormat="1" applyFont="1" applyFill="1" applyBorder="1" applyAlignment="1" applyProtection="1">
      <alignment vertical="center"/>
      <protection/>
    </xf>
    <xf numFmtId="3" fontId="4" fillId="0" borderId="38" xfId="68" applyNumberFormat="1" applyFont="1" applyFill="1" applyBorder="1" applyAlignment="1" applyProtection="1">
      <alignment vertical="center"/>
      <protection/>
    </xf>
    <xf numFmtId="3" fontId="4" fillId="0" borderId="49" xfId="68" applyNumberFormat="1" applyFont="1" applyFill="1" applyBorder="1" applyAlignment="1" applyProtection="1">
      <alignment vertical="center"/>
      <protection/>
    </xf>
    <xf numFmtId="3" fontId="18" fillId="32" borderId="23" xfId="68" applyNumberFormat="1" applyFont="1" applyFill="1" applyBorder="1" applyAlignment="1" applyProtection="1">
      <alignment vertical="center"/>
      <protection/>
    </xf>
    <xf numFmtId="3" fontId="18" fillId="32" borderId="24" xfId="68" applyNumberFormat="1" applyFont="1" applyFill="1" applyBorder="1" applyAlignment="1" applyProtection="1">
      <alignment vertical="center"/>
      <protection/>
    </xf>
    <xf numFmtId="3" fontId="18" fillId="32" borderId="25" xfId="68" applyNumberFormat="1" applyFont="1" applyFill="1" applyBorder="1" applyAlignment="1" applyProtection="1">
      <alignment vertical="center"/>
      <protection/>
    </xf>
    <xf numFmtId="3" fontId="18" fillId="32" borderId="26" xfId="68" applyNumberFormat="1" applyFont="1" applyFill="1" applyBorder="1" applyAlignment="1" applyProtection="1">
      <alignment vertical="center"/>
      <protection/>
    </xf>
    <xf numFmtId="0" fontId="20" fillId="0" borderId="0" xfId="68" applyFont="1" applyFill="1" applyAlignment="1" applyProtection="1">
      <alignment vertical="center"/>
      <protection/>
    </xf>
    <xf numFmtId="49" fontId="3" fillId="0" borderId="0" xfId="68" applyNumberFormat="1" applyFont="1" applyAlignment="1" applyProtection="1">
      <alignment horizontal="center" vertical="center"/>
      <protection/>
    </xf>
    <xf numFmtId="49" fontId="4" fillId="0" borderId="0" xfId="68" applyNumberFormat="1" applyFont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horizontal="center" vertical="top" wrapText="1"/>
      <protection/>
    </xf>
    <xf numFmtId="49" fontId="11" fillId="0" borderId="0" xfId="0" applyNumberFormat="1" applyFont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0" fontId="11" fillId="0" borderId="0" xfId="0" applyFont="1" applyAlignment="1" applyProtection="1">
      <alignment wrapText="1"/>
      <protection/>
    </xf>
    <xf numFmtId="3" fontId="11" fillId="0" borderId="0" xfId="0" applyNumberFormat="1" applyFont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3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3" fontId="7" fillId="0" borderId="10" xfId="0" applyNumberFormat="1" applyFont="1" applyBorder="1" applyAlignment="1" applyProtection="1">
      <alignment horizontal="right" vertical="center" wrapText="1"/>
      <protection/>
    </xf>
    <xf numFmtId="49" fontId="97" fillId="0" borderId="15" xfId="0" applyNumberFormat="1" applyFont="1" applyBorder="1" applyAlignment="1" applyProtection="1">
      <alignment horizontal="center" vertical="top"/>
      <protection/>
    </xf>
    <xf numFmtId="49" fontId="97" fillId="0" borderId="10" xfId="0" applyNumberFormat="1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vertical="center" wrapText="1"/>
      <protection/>
    </xf>
    <xf numFmtId="3" fontId="97" fillId="0" borderId="29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49" fontId="97" fillId="0" borderId="19" xfId="0" applyNumberFormat="1" applyFont="1" applyBorder="1" applyAlignment="1" applyProtection="1">
      <alignment horizontal="center" vertical="top"/>
      <protection/>
    </xf>
    <xf numFmtId="0" fontId="97" fillId="0" borderId="19" xfId="0" applyFont="1" applyBorder="1" applyAlignment="1" applyProtection="1">
      <alignment vertical="top" wrapText="1"/>
      <protection/>
    </xf>
    <xf numFmtId="3" fontId="97" fillId="0" borderId="19" xfId="0" applyNumberFormat="1" applyFont="1" applyBorder="1" applyAlignment="1" applyProtection="1">
      <alignment vertical="top"/>
      <protection/>
    </xf>
    <xf numFmtId="49" fontId="98" fillId="0" borderId="29" xfId="0" applyNumberFormat="1" applyFont="1" applyBorder="1" applyAlignment="1" applyProtection="1">
      <alignment horizontal="center" vertical="top"/>
      <protection/>
    </xf>
    <xf numFmtId="0" fontId="98" fillId="0" borderId="29" xfId="0" applyFont="1" applyBorder="1" applyAlignment="1" applyProtection="1">
      <alignment vertical="top" wrapText="1"/>
      <protection/>
    </xf>
    <xf numFmtId="3" fontId="98" fillId="0" borderId="29" xfId="0" applyNumberFormat="1" applyFont="1" applyBorder="1" applyAlignment="1" applyProtection="1">
      <alignment vertical="top"/>
      <protection/>
    </xf>
    <xf numFmtId="49" fontId="97" fillId="0" borderId="29" xfId="0" applyNumberFormat="1" applyFont="1" applyBorder="1" applyAlignment="1" applyProtection="1">
      <alignment horizontal="center" vertical="top"/>
      <protection/>
    </xf>
    <xf numFmtId="0" fontId="97" fillId="0" borderId="29" xfId="0" applyFont="1" applyBorder="1" applyAlignment="1" applyProtection="1">
      <alignment vertical="top" wrapText="1"/>
      <protection/>
    </xf>
    <xf numFmtId="3" fontId="97" fillId="0" borderId="29" xfId="0" applyNumberFormat="1" applyFont="1" applyBorder="1" applyAlignment="1" applyProtection="1">
      <alignment vertical="top"/>
      <protection/>
    </xf>
    <xf numFmtId="49" fontId="97" fillId="0" borderId="10" xfId="0" applyNumberFormat="1" applyFont="1" applyBorder="1" applyAlignment="1" applyProtection="1">
      <alignment horizontal="center" vertical="top"/>
      <protection/>
    </xf>
    <xf numFmtId="0" fontId="97" fillId="0" borderId="10" xfId="0" applyFont="1" applyBorder="1" applyAlignment="1" applyProtection="1">
      <alignment vertical="top" wrapText="1"/>
      <protection/>
    </xf>
    <xf numFmtId="3" fontId="97" fillId="0" borderId="10" xfId="0" applyNumberFormat="1" applyFont="1" applyBorder="1" applyAlignment="1" applyProtection="1">
      <alignment vertical="top"/>
      <protection/>
    </xf>
    <xf numFmtId="49" fontId="98" fillId="0" borderId="41" xfId="0" applyNumberFormat="1" applyFont="1" applyBorder="1" applyAlignment="1" applyProtection="1">
      <alignment horizontal="center" vertical="top"/>
      <protection/>
    </xf>
    <xf numFmtId="0" fontId="98" fillId="0" borderId="41" xfId="0" applyFont="1" applyBorder="1" applyAlignment="1" applyProtection="1">
      <alignment vertical="top" wrapText="1"/>
      <protection/>
    </xf>
    <xf numFmtId="3" fontId="98" fillId="0" borderId="41" xfId="0" applyNumberFormat="1" applyFont="1" applyBorder="1" applyAlignment="1" applyProtection="1">
      <alignment vertical="top"/>
      <protection/>
    </xf>
    <xf numFmtId="49" fontId="98" fillId="0" borderId="19" xfId="0" applyNumberFormat="1" applyFont="1" applyBorder="1" applyAlignment="1" applyProtection="1">
      <alignment horizontal="center" vertical="top"/>
      <protection/>
    </xf>
    <xf numFmtId="0" fontId="98" fillId="0" borderId="19" xfId="0" applyFont="1" applyBorder="1" applyAlignment="1" applyProtection="1">
      <alignment vertical="top" wrapText="1"/>
      <protection/>
    </xf>
    <xf numFmtId="3" fontId="98" fillId="0" borderId="19" xfId="0" applyNumberFormat="1" applyFont="1" applyBorder="1" applyAlignment="1" applyProtection="1">
      <alignment vertical="top"/>
      <protection/>
    </xf>
    <xf numFmtId="0" fontId="97" fillId="0" borderId="10" xfId="63" applyFont="1" applyBorder="1" applyAlignment="1" applyProtection="1">
      <alignment vertical="top" wrapText="1"/>
      <protection/>
    </xf>
    <xf numFmtId="49" fontId="98" fillId="0" borderId="10" xfId="0" applyNumberFormat="1" applyFont="1" applyBorder="1" applyAlignment="1" applyProtection="1">
      <alignment horizontal="center" vertical="top"/>
      <protection/>
    </xf>
    <xf numFmtId="0" fontId="98" fillId="0" borderId="10" xfId="0" applyFont="1" applyBorder="1" applyAlignment="1" applyProtection="1">
      <alignment vertical="top" wrapText="1"/>
      <protection/>
    </xf>
    <xf numFmtId="3" fontId="98" fillId="0" borderId="10" xfId="0" applyNumberFormat="1" applyFont="1" applyBorder="1" applyAlignment="1" applyProtection="1">
      <alignment vertical="top"/>
      <protection/>
    </xf>
    <xf numFmtId="0" fontId="11" fillId="0" borderId="0" xfId="0" applyFont="1" applyAlignment="1" applyProtection="1">
      <alignment vertical="top" wrapText="1"/>
      <protection/>
    </xf>
    <xf numFmtId="3" fontId="11" fillId="0" borderId="0" xfId="0" applyNumberFormat="1" applyFont="1" applyAlignment="1" applyProtection="1">
      <alignment vertical="top" wrapText="1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Font="1" applyAlignment="1" applyProtection="1">
      <alignment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52" xfId="0" applyFont="1" applyBorder="1" applyAlignment="1" applyProtection="1">
      <alignment horizontal="center" vertical="center" wrapText="1"/>
      <protection/>
    </xf>
    <xf numFmtId="0" fontId="25" fillId="0" borderId="53" xfId="0" applyFont="1" applyBorder="1" applyAlignment="1" applyProtection="1">
      <alignment horizontal="center"/>
      <protection/>
    </xf>
    <xf numFmtId="0" fontId="25" fillId="0" borderId="23" xfId="0" applyFont="1" applyBorder="1" applyAlignment="1" applyProtection="1">
      <alignment horizontal="center"/>
      <protection/>
    </xf>
    <xf numFmtId="0" fontId="25" fillId="33" borderId="23" xfId="0" applyFont="1" applyFill="1" applyBorder="1" applyAlignment="1" applyProtection="1">
      <alignment horizontal="center"/>
      <protection/>
    </xf>
    <xf numFmtId="0" fontId="25" fillId="0" borderId="26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2" fillId="0" borderId="54" xfId="0" applyFont="1" applyBorder="1" applyAlignment="1" applyProtection="1">
      <alignment horizontal="center" vertical="top"/>
      <protection/>
    </xf>
    <xf numFmtId="0" fontId="22" fillId="0" borderId="29" xfId="0" applyFont="1" applyBorder="1" applyAlignment="1" applyProtection="1">
      <alignment vertical="top"/>
      <protection/>
    </xf>
    <xf numFmtId="0" fontId="22" fillId="33" borderId="29" xfId="0" applyFont="1" applyFill="1" applyBorder="1" applyAlignment="1" applyProtection="1">
      <alignment vertical="top"/>
      <protection/>
    </xf>
    <xf numFmtId="0" fontId="22" fillId="0" borderId="31" xfId="0" applyFont="1" applyBorder="1" applyAlignment="1" applyProtection="1">
      <alignment vertical="top"/>
      <protection/>
    </xf>
    <xf numFmtId="0" fontId="22" fillId="0" borderId="0" xfId="0" applyFont="1" applyAlignment="1" applyProtection="1">
      <alignment vertical="top"/>
      <protection/>
    </xf>
    <xf numFmtId="49" fontId="26" fillId="33" borderId="53" xfId="0" applyNumberFormat="1" applyFont="1" applyFill="1" applyBorder="1" applyAlignment="1" applyProtection="1">
      <alignment horizontal="center" vertical="center"/>
      <protection/>
    </xf>
    <xf numFmtId="0" fontId="26" fillId="33" borderId="23" xfId="0" applyFont="1" applyFill="1" applyBorder="1" applyAlignment="1" applyProtection="1">
      <alignment horizontal="left" vertical="center" wrapText="1"/>
      <protection/>
    </xf>
    <xf numFmtId="3" fontId="26" fillId="33" borderId="23" xfId="0" applyNumberFormat="1" applyFont="1" applyFill="1" applyBorder="1" applyAlignment="1" applyProtection="1">
      <alignment horizontal="right" vertical="center"/>
      <protection/>
    </xf>
    <xf numFmtId="3" fontId="26" fillId="33" borderId="26" xfId="0" applyNumberFormat="1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9" fontId="22" fillId="0" borderId="54" xfId="0" applyNumberFormat="1" applyFont="1" applyBorder="1" applyAlignment="1" applyProtection="1">
      <alignment horizontal="center" vertical="top"/>
      <protection/>
    </xf>
    <xf numFmtId="0" fontId="22" fillId="0" borderId="29" xfId="0" applyFont="1" applyBorder="1" applyAlignment="1" applyProtection="1">
      <alignment vertical="top" wrapText="1"/>
      <protection/>
    </xf>
    <xf numFmtId="3" fontId="22" fillId="33" borderId="29" xfId="0" applyNumberFormat="1" applyFont="1" applyFill="1" applyBorder="1" applyAlignment="1" applyProtection="1">
      <alignment vertical="top"/>
      <protection/>
    </xf>
    <xf numFmtId="3" fontId="22" fillId="0" borderId="29" xfId="0" applyNumberFormat="1" applyFont="1" applyBorder="1" applyAlignment="1" applyProtection="1">
      <alignment vertical="top"/>
      <protection/>
    </xf>
    <xf numFmtId="3" fontId="22" fillId="0" borderId="31" xfId="0" applyNumberFormat="1" applyFont="1" applyBorder="1" applyAlignment="1" applyProtection="1">
      <alignment vertical="top"/>
      <protection/>
    </xf>
    <xf numFmtId="4" fontId="22" fillId="0" borderId="0" xfId="0" applyNumberFormat="1" applyFont="1" applyAlignment="1" applyProtection="1">
      <alignment vertical="top"/>
      <protection/>
    </xf>
    <xf numFmtId="49" fontId="7" fillId="0" borderId="53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3" fontId="7" fillId="33" borderId="23" xfId="0" applyNumberFormat="1" applyFont="1" applyFill="1" applyBorder="1" applyAlignment="1" applyProtection="1">
      <alignment vertical="center"/>
      <protection/>
    </xf>
    <xf numFmtId="3" fontId="7" fillId="0" borderId="23" xfId="0" applyNumberFormat="1" applyFont="1" applyBorder="1" applyAlignment="1" applyProtection="1">
      <alignment vertical="center"/>
      <protection/>
    </xf>
    <xf numFmtId="3" fontId="7" fillId="0" borderId="26" xfId="0" applyNumberFormat="1" applyFont="1" applyBorder="1" applyAlignment="1" applyProtection="1">
      <alignment vertical="center"/>
      <protection/>
    </xf>
    <xf numFmtId="4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3" fontId="22" fillId="33" borderId="10" xfId="0" applyNumberFormat="1" applyFont="1" applyFill="1" applyBorder="1" applyAlignment="1" applyProtection="1">
      <alignment vertical="center"/>
      <protection/>
    </xf>
    <xf numFmtId="3" fontId="22" fillId="0" borderId="10" xfId="0" applyNumberFormat="1" applyFont="1" applyBorder="1" applyAlignment="1" applyProtection="1">
      <alignment vertical="center"/>
      <protection/>
    </xf>
    <xf numFmtId="3" fontId="22" fillId="0" borderId="10" xfId="0" applyNumberFormat="1" applyFont="1" applyFill="1" applyBorder="1" applyAlignment="1" applyProtection="1">
      <alignment vertical="center"/>
      <protection/>
    </xf>
    <xf numFmtId="3" fontId="22" fillId="0" borderId="16" xfId="0" applyNumberFormat="1" applyFont="1" applyBorder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3" fontId="7" fillId="33" borderId="23" xfId="0" applyNumberFormat="1" applyFont="1" applyFill="1" applyBorder="1" applyAlignment="1" applyProtection="1">
      <alignment horizontal="right" vertical="center"/>
      <protection/>
    </xf>
    <xf numFmtId="3" fontId="7" fillId="0" borderId="23" xfId="0" applyNumberFormat="1" applyFont="1" applyBorder="1" applyAlignment="1" applyProtection="1">
      <alignment horizontal="right" vertical="center"/>
      <protection/>
    </xf>
    <xf numFmtId="3" fontId="7" fillId="0" borderId="26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49" fontId="22" fillId="0" borderId="14" xfId="0" applyNumberFormat="1" applyFont="1" applyFill="1" applyBorder="1" applyAlignment="1" applyProtection="1">
      <alignment horizontal="center" vertical="top"/>
      <protection/>
    </xf>
    <xf numFmtId="0" fontId="22" fillId="0" borderId="10" xfId="0" applyFont="1" applyFill="1" applyBorder="1" applyAlignment="1" applyProtection="1">
      <alignment horizontal="left" vertical="top" wrapText="1"/>
      <protection/>
    </xf>
    <xf numFmtId="3" fontId="22" fillId="33" borderId="10" xfId="0" applyNumberFormat="1" applyFont="1" applyFill="1" applyBorder="1" applyAlignment="1" applyProtection="1">
      <alignment vertical="top"/>
      <protection/>
    </xf>
    <xf numFmtId="3" fontId="22" fillId="0" borderId="10" xfId="0" applyNumberFormat="1" applyFont="1" applyBorder="1" applyAlignment="1" applyProtection="1">
      <alignment vertical="top"/>
      <protection/>
    </xf>
    <xf numFmtId="3" fontId="22" fillId="0" borderId="10" xfId="0" applyNumberFormat="1" applyFont="1" applyFill="1" applyBorder="1" applyAlignment="1" applyProtection="1">
      <alignment vertical="top"/>
      <protection/>
    </xf>
    <xf numFmtId="3" fontId="22" fillId="0" borderId="16" xfId="0" applyNumberFormat="1" applyFont="1" applyBorder="1" applyAlignment="1" applyProtection="1">
      <alignment vertical="top"/>
      <protection/>
    </xf>
    <xf numFmtId="3" fontId="7" fillId="0" borderId="23" xfId="0" applyNumberFormat="1" applyFont="1" applyFill="1" applyBorder="1" applyAlignment="1" applyProtection="1">
      <alignment vertical="center"/>
      <protection/>
    </xf>
    <xf numFmtId="3" fontId="7" fillId="0" borderId="26" xfId="0" applyNumberFormat="1" applyFont="1" applyFill="1" applyBorder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3" fontId="22" fillId="0" borderId="16" xfId="0" applyNumberFormat="1" applyFont="1" applyFill="1" applyBorder="1" applyAlignment="1" applyProtection="1">
      <alignment vertical="center"/>
      <protection/>
    </xf>
    <xf numFmtId="49" fontId="22" fillId="0" borderId="55" xfId="0" applyNumberFormat="1" applyFont="1" applyFill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left" vertical="center" wrapText="1"/>
      <protection/>
    </xf>
    <xf numFmtId="3" fontId="22" fillId="33" borderId="11" xfId="0" applyNumberFormat="1" applyFont="1" applyFill="1" applyBorder="1" applyAlignment="1" applyProtection="1">
      <alignment vertical="center"/>
      <protection/>
    </xf>
    <xf numFmtId="3" fontId="22" fillId="0" borderId="11" xfId="0" applyNumberFormat="1" applyFont="1" applyBorder="1" applyAlignment="1" applyProtection="1">
      <alignment vertical="center"/>
      <protection/>
    </xf>
    <xf numFmtId="3" fontId="22" fillId="0" borderId="11" xfId="0" applyNumberFormat="1" applyFont="1" applyFill="1" applyBorder="1" applyAlignment="1" applyProtection="1">
      <alignment vertical="center"/>
      <protection/>
    </xf>
    <xf numFmtId="3" fontId="22" fillId="0" borderId="12" xfId="0" applyNumberFormat="1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horizontal="left" vertical="top" wrapText="1"/>
      <protection/>
    </xf>
    <xf numFmtId="49" fontId="7" fillId="0" borderId="53" xfId="0" applyNumberFormat="1" applyFont="1" applyFill="1" applyBorder="1" applyAlignment="1" applyProtection="1">
      <alignment horizontal="center" vertical="top"/>
      <protection/>
    </xf>
    <xf numFmtId="0" fontId="7" fillId="0" borderId="23" xfId="0" applyFont="1" applyBorder="1" applyAlignment="1" applyProtection="1">
      <alignment horizontal="left" vertical="top" wrapText="1"/>
      <protection/>
    </xf>
    <xf numFmtId="3" fontId="7" fillId="33" borderId="23" xfId="0" applyNumberFormat="1" applyFont="1" applyFill="1" applyBorder="1" applyAlignment="1" applyProtection="1">
      <alignment vertical="top"/>
      <protection/>
    </xf>
    <xf numFmtId="3" fontId="7" fillId="0" borderId="23" xfId="0" applyNumberFormat="1" applyFont="1" applyFill="1" applyBorder="1" applyAlignment="1" applyProtection="1">
      <alignment vertical="top"/>
      <protection/>
    </xf>
    <xf numFmtId="3" fontId="7" fillId="0" borderId="26" xfId="0" applyNumberFormat="1" applyFont="1" applyFill="1" applyBorder="1" applyAlignment="1" applyProtection="1">
      <alignment vertical="top"/>
      <protection/>
    </xf>
    <xf numFmtId="4" fontId="24" fillId="0" borderId="0" xfId="0" applyNumberFormat="1" applyFont="1" applyAlignment="1" applyProtection="1">
      <alignment vertical="top"/>
      <protection/>
    </xf>
    <xf numFmtId="0" fontId="24" fillId="0" borderId="0" xfId="0" applyFont="1" applyAlignment="1" applyProtection="1">
      <alignment vertical="top"/>
      <protection/>
    </xf>
    <xf numFmtId="3" fontId="22" fillId="0" borderId="16" xfId="0" applyNumberFormat="1" applyFont="1" applyFill="1" applyBorder="1" applyAlignment="1" applyProtection="1">
      <alignment vertical="top"/>
      <protection/>
    </xf>
    <xf numFmtId="0" fontId="22" fillId="0" borderId="53" xfId="0" applyFont="1" applyFill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left" vertical="center" wrapText="1"/>
      <protection/>
    </xf>
    <xf numFmtId="3" fontId="22" fillId="33" borderId="23" xfId="0" applyNumberFormat="1" applyFont="1" applyFill="1" applyBorder="1" applyAlignment="1" applyProtection="1">
      <alignment vertical="center"/>
      <protection/>
    </xf>
    <xf numFmtId="3" fontId="22" fillId="0" borderId="23" xfId="0" applyNumberFormat="1" applyFont="1" applyBorder="1" applyAlignment="1" applyProtection="1">
      <alignment vertical="center"/>
      <protection/>
    </xf>
    <xf numFmtId="3" fontId="22" fillId="0" borderId="23" xfId="0" applyNumberFormat="1" applyFont="1" applyFill="1" applyBorder="1" applyAlignment="1" applyProtection="1">
      <alignment vertical="center"/>
      <protection/>
    </xf>
    <xf numFmtId="3" fontId="22" fillId="0" borderId="26" xfId="0" applyNumberFormat="1" applyFont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top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top"/>
      <protection/>
    </xf>
    <xf numFmtId="3" fontId="7" fillId="0" borderId="23" xfId="0" applyNumberFormat="1" applyFont="1" applyBorder="1" applyAlignment="1" applyProtection="1">
      <alignment vertical="top"/>
      <protection/>
    </xf>
    <xf numFmtId="3" fontId="7" fillId="0" borderId="26" xfId="0" applyNumberFormat="1" applyFont="1" applyBorder="1" applyAlignment="1" applyProtection="1">
      <alignment vertical="top"/>
      <protection/>
    </xf>
    <xf numFmtId="0" fontId="22" fillId="0" borderId="56" xfId="0" applyFont="1" applyFill="1" applyBorder="1" applyAlignment="1" applyProtection="1">
      <alignment horizontal="center" vertical="center"/>
      <protection/>
    </xf>
    <xf numFmtId="0" fontId="22" fillId="0" borderId="35" xfId="0" applyFont="1" applyBorder="1" applyAlignment="1" applyProtection="1">
      <alignment horizontal="left" vertical="center" wrapText="1"/>
      <protection/>
    </xf>
    <xf numFmtId="3" fontId="22" fillId="33" borderId="35" xfId="0" applyNumberFormat="1" applyFont="1" applyFill="1" applyBorder="1" applyAlignment="1" applyProtection="1">
      <alignment vertical="center"/>
      <protection/>
    </xf>
    <xf numFmtId="3" fontId="22" fillId="0" borderId="35" xfId="0" applyNumberFormat="1" applyFont="1" applyBorder="1" applyAlignment="1" applyProtection="1">
      <alignment vertical="center"/>
      <protection/>
    </xf>
    <xf numFmtId="3" fontId="22" fillId="0" borderId="35" xfId="0" applyNumberFormat="1" applyFont="1" applyFill="1" applyBorder="1" applyAlignment="1" applyProtection="1">
      <alignment vertical="center"/>
      <protection/>
    </xf>
    <xf numFmtId="3" fontId="22" fillId="0" borderId="38" xfId="0" applyNumberFormat="1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horizontal="center" vertical="top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top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22" fillId="0" borderId="57" xfId="0" applyFont="1" applyBorder="1" applyAlignment="1" applyProtection="1">
      <alignment horizontal="center" vertical="top"/>
      <protection/>
    </xf>
    <xf numFmtId="0" fontId="22" fillId="0" borderId="19" xfId="0" applyFont="1" applyBorder="1" applyAlignment="1" applyProtection="1">
      <alignment vertical="top" wrapText="1"/>
      <protection/>
    </xf>
    <xf numFmtId="3" fontId="22" fillId="33" borderId="19" xfId="0" applyNumberFormat="1" applyFont="1" applyFill="1" applyBorder="1" applyAlignment="1" applyProtection="1">
      <alignment vertical="top"/>
      <protection/>
    </xf>
    <xf numFmtId="3" fontId="22" fillId="0" borderId="19" xfId="0" applyNumberFormat="1" applyFont="1" applyBorder="1" applyAlignment="1" applyProtection="1">
      <alignment vertical="top"/>
      <protection/>
    </xf>
    <xf numFmtId="3" fontId="22" fillId="0" borderId="20" xfId="0" applyNumberFormat="1" applyFont="1" applyBorder="1" applyAlignment="1" applyProtection="1">
      <alignment vertical="top"/>
      <protection/>
    </xf>
    <xf numFmtId="0" fontId="26" fillId="33" borderId="53" xfId="0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center" vertical="center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26" xfId="0" applyNumberFormat="1" applyFont="1" applyFill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" fontId="22" fillId="0" borderId="0" xfId="0" applyNumberFormat="1" applyFont="1" applyFill="1" applyAlignment="1" applyProtection="1">
      <alignment/>
      <protection/>
    </xf>
    <xf numFmtId="4" fontId="22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 vertical="top" wrapText="1"/>
      <protection/>
    </xf>
    <xf numFmtId="0" fontId="20" fillId="0" borderId="10" xfId="0" applyFont="1" applyBorder="1" applyAlignment="1" applyProtection="1">
      <alignment horizontal="center" vertical="top" wrapText="1"/>
      <protection/>
    </xf>
    <xf numFmtId="0" fontId="20" fillId="0" borderId="46" xfId="0" applyFont="1" applyBorder="1" applyAlignment="1" applyProtection="1">
      <alignment horizontal="left" vertical="top" wrapText="1"/>
      <protection/>
    </xf>
    <xf numFmtId="3" fontId="20" fillId="0" borderId="10" xfId="0" applyNumberFormat="1" applyFont="1" applyFill="1" applyBorder="1" applyAlignment="1" applyProtection="1">
      <alignment horizontal="right" vertical="top" wrapText="1"/>
      <protection/>
    </xf>
    <xf numFmtId="0" fontId="20" fillId="0" borderId="0" xfId="0" applyFont="1" applyAlignment="1" applyProtection="1">
      <alignment horizontal="center" vertical="top" wrapText="1"/>
      <protection/>
    </xf>
    <xf numFmtId="49" fontId="99" fillId="0" borderId="15" xfId="56" applyNumberFormat="1" applyFont="1" applyBorder="1" applyAlignment="1" applyProtection="1">
      <alignment horizontal="center" vertical="top" wrapText="1"/>
      <protection/>
    </xf>
    <xf numFmtId="49" fontId="99" fillId="0" borderId="10" xfId="56" applyNumberFormat="1" applyFont="1" applyBorder="1" applyAlignment="1" applyProtection="1">
      <alignment horizontal="center" vertical="top" wrapText="1"/>
      <protection/>
    </xf>
    <xf numFmtId="0" fontId="99" fillId="0" borderId="46" xfId="56" applyFont="1" applyBorder="1" applyAlignment="1" applyProtection="1">
      <alignment vertical="top" wrapText="1"/>
      <protection/>
    </xf>
    <xf numFmtId="3" fontId="99" fillId="0" borderId="10" xfId="56" applyNumberFormat="1" applyFont="1" applyBorder="1" applyAlignment="1" applyProtection="1">
      <alignment vertical="top" wrapText="1"/>
      <protection/>
    </xf>
    <xf numFmtId="0" fontId="24" fillId="0" borderId="0" xfId="0" applyFont="1" applyAlignment="1" applyProtection="1">
      <alignment/>
      <protection/>
    </xf>
    <xf numFmtId="49" fontId="99" fillId="0" borderId="58" xfId="56" applyNumberFormat="1" applyFont="1" applyBorder="1" applyAlignment="1" applyProtection="1">
      <alignment horizontal="center" vertical="top" wrapText="1"/>
      <protection/>
    </xf>
    <xf numFmtId="49" fontId="99" fillId="0" borderId="29" xfId="56" applyNumberFormat="1" applyFont="1" applyBorder="1" applyAlignment="1" applyProtection="1">
      <alignment horizontal="center" vertical="top" wrapText="1"/>
      <protection/>
    </xf>
    <xf numFmtId="0" fontId="99" fillId="0" borderId="0" xfId="56" applyFont="1" applyBorder="1" applyAlignment="1" applyProtection="1">
      <alignment vertical="top" wrapText="1"/>
      <protection/>
    </xf>
    <xf numFmtId="3" fontId="99" fillId="0" borderId="29" xfId="56" applyNumberFormat="1" applyFont="1" applyBorder="1" applyAlignment="1" applyProtection="1">
      <alignment vertical="top" wrapText="1"/>
      <protection/>
    </xf>
    <xf numFmtId="49" fontId="100" fillId="0" borderId="58" xfId="56" applyNumberFormat="1" applyFont="1" applyBorder="1" applyAlignment="1" applyProtection="1">
      <alignment horizontal="center" vertical="top" wrapText="1"/>
      <protection/>
    </xf>
    <xf numFmtId="49" fontId="100" fillId="0" borderId="29" xfId="56" applyNumberFormat="1" applyFont="1" applyBorder="1" applyAlignment="1" applyProtection="1">
      <alignment horizontal="center" vertical="top" wrapText="1"/>
      <protection/>
    </xf>
    <xf numFmtId="0" fontId="100" fillId="0" borderId="0" xfId="56" applyFont="1" applyBorder="1" applyAlignment="1" applyProtection="1">
      <alignment vertical="top" wrapText="1"/>
      <protection/>
    </xf>
    <xf numFmtId="3" fontId="100" fillId="0" borderId="29" xfId="56" applyNumberFormat="1" applyFont="1" applyBorder="1" applyAlignment="1" applyProtection="1">
      <alignment vertical="top" wrapText="1"/>
      <protection/>
    </xf>
    <xf numFmtId="49" fontId="100" fillId="0" borderId="40" xfId="56" applyNumberFormat="1" applyFont="1" applyBorder="1" applyAlignment="1" applyProtection="1">
      <alignment horizontal="center" vertical="top" wrapText="1"/>
      <protection/>
    </xf>
    <xf numFmtId="49" fontId="100" fillId="0" borderId="41" xfId="56" applyNumberFormat="1" applyFont="1" applyBorder="1" applyAlignment="1" applyProtection="1">
      <alignment horizontal="center" vertical="top" wrapText="1"/>
      <protection/>
    </xf>
    <xf numFmtId="0" fontId="100" fillId="0" borderId="42" xfId="56" applyFont="1" applyBorder="1" applyAlignment="1" applyProtection="1">
      <alignment vertical="top" wrapText="1"/>
      <protection/>
    </xf>
    <xf numFmtId="3" fontId="100" fillId="0" borderId="41" xfId="56" applyNumberFormat="1" applyFont="1" applyBorder="1" applyAlignment="1" applyProtection="1">
      <alignment vertical="top" wrapText="1"/>
      <protection/>
    </xf>
    <xf numFmtId="49" fontId="100" fillId="0" borderId="59" xfId="56" applyNumberFormat="1" applyFont="1" applyBorder="1" applyAlignment="1" applyProtection="1">
      <alignment horizontal="center" vertical="top" wrapText="1"/>
      <protection/>
    </xf>
    <xf numFmtId="49" fontId="100" fillId="0" borderId="19" xfId="56" applyNumberFormat="1" applyFont="1" applyBorder="1" applyAlignment="1" applyProtection="1">
      <alignment horizontal="center" vertical="top" wrapText="1"/>
      <protection/>
    </xf>
    <xf numFmtId="0" fontId="100" fillId="0" borderId="18" xfId="56" applyFont="1" applyBorder="1" applyAlignment="1" applyProtection="1">
      <alignment vertical="top" wrapText="1"/>
      <protection/>
    </xf>
    <xf numFmtId="3" fontId="100" fillId="0" borderId="19" xfId="56" applyNumberFormat="1" applyFont="1" applyBorder="1" applyAlignment="1" applyProtection="1">
      <alignment vertical="top" wrapText="1"/>
      <protection/>
    </xf>
    <xf numFmtId="49" fontId="99" fillId="0" borderId="59" xfId="56" applyNumberFormat="1" applyFont="1" applyBorder="1" applyAlignment="1" applyProtection="1">
      <alignment horizontal="center" vertical="top" wrapText="1"/>
      <protection/>
    </xf>
    <xf numFmtId="49" fontId="99" fillId="0" borderId="19" xfId="56" applyNumberFormat="1" applyFont="1" applyBorder="1" applyAlignment="1" applyProtection="1">
      <alignment horizontal="center" vertical="top" wrapText="1"/>
      <protection/>
    </xf>
    <xf numFmtId="0" fontId="99" fillId="0" borderId="18" xfId="56" applyFont="1" applyBorder="1" applyAlignment="1" applyProtection="1">
      <alignment vertical="top" wrapText="1"/>
      <protection/>
    </xf>
    <xf numFmtId="3" fontId="99" fillId="0" borderId="19" xfId="56" applyNumberFormat="1" applyFont="1" applyBorder="1" applyAlignment="1" applyProtection="1">
      <alignment vertical="top" wrapText="1"/>
      <protection/>
    </xf>
    <xf numFmtId="49" fontId="22" fillId="0" borderId="0" xfId="0" applyNumberFormat="1" applyFont="1" applyAlignment="1" applyProtection="1">
      <alignment horizontal="center"/>
      <protection/>
    </xf>
    <xf numFmtId="0" fontId="27" fillId="0" borderId="0" xfId="72" applyFont="1" applyAlignment="1" applyProtection="1">
      <alignment wrapText="1"/>
      <protection/>
    </xf>
    <xf numFmtId="0" fontId="27" fillId="0" borderId="0" xfId="72" applyFont="1" applyFill="1" applyAlignment="1" applyProtection="1">
      <alignment horizontal="left" wrapText="1"/>
      <protection/>
    </xf>
    <xf numFmtId="0" fontId="27" fillId="0" borderId="0" xfId="72" applyFont="1" applyAlignment="1" applyProtection="1">
      <alignment horizontal="left" wrapText="1"/>
      <protection/>
    </xf>
    <xf numFmtId="0" fontId="27" fillId="0" borderId="0" xfId="69" applyFont="1" applyFill="1" applyAlignment="1" applyProtection="1">
      <alignment horizontal="left" vertical="center" wrapText="1"/>
      <protection/>
    </xf>
    <xf numFmtId="0" fontId="27" fillId="0" borderId="0" xfId="69" applyFont="1" applyAlignment="1" applyProtection="1">
      <alignment horizontal="left" vertical="center" wrapText="1"/>
      <protection/>
    </xf>
    <xf numFmtId="0" fontId="23" fillId="0" borderId="0" xfId="72" applyFont="1" applyAlignment="1" applyProtection="1">
      <alignment horizontal="center" wrapText="1"/>
      <protection/>
    </xf>
    <xf numFmtId="0" fontId="27" fillId="0" borderId="0" xfId="69" applyFont="1" applyAlignment="1" applyProtection="1">
      <alignment wrapText="1"/>
      <protection/>
    </xf>
    <xf numFmtId="0" fontId="27" fillId="0" borderId="0" xfId="69" applyFont="1" applyFill="1" applyAlignment="1" applyProtection="1">
      <alignment wrapText="1"/>
      <protection/>
    </xf>
    <xf numFmtId="0" fontId="28" fillId="0" borderId="0" xfId="72" applyFont="1" applyAlignment="1" applyProtection="1">
      <alignment wrapText="1"/>
      <protection/>
    </xf>
    <xf numFmtId="0" fontId="28" fillId="0" borderId="0" xfId="72" applyFont="1" applyAlignment="1" applyProtection="1">
      <alignment horizontal="center" vertical="center" wrapText="1"/>
      <protection/>
    </xf>
    <xf numFmtId="0" fontId="29" fillId="0" borderId="53" xfId="72" applyFont="1" applyBorder="1" applyAlignment="1" applyProtection="1">
      <alignment horizontal="center" vertical="center" wrapText="1"/>
      <protection/>
    </xf>
    <xf numFmtId="0" fontId="29" fillId="0" borderId="25" xfId="72" applyFont="1" applyBorder="1" applyAlignment="1" applyProtection="1">
      <alignment horizontal="center" vertical="center" wrapText="1"/>
      <protection/>
    </xf>
    <xf numFmtId="0" fontId="29" fillId="0" borderId="24" xfId="72" applyFont="1" applyBorder="1" applyAlignment="1" applyProtection="1">
      <alignment horizontal="center" vertical="center" wrapText="1"/>
      <protection/>
    </xf>
    <xf numFmtId="0" fontId="29" fillId="0" borderId="60" xfId="72" applyFont="1" applyFill="1" applyBorder="1" applyAlignment="1" applyProtection="1">
      <alignment horizontal="center" vertical="center" wrapText="1"/>
      <protection/>
    </xf>
    <xf numFmtId="0" fontId="29" fillId="0" borderId="0" xfId="72" applyFont="1" applyAlignment="1" applyProtection="1">
      <alignment wrapText="1"/>
      <protection/>
    </xf>
    <xf numFmtId="0" fontId="29" fillId="0" borderId="21" xfId="72" applyFont="1" applyBorder="1" applyAlignment="1" applyProtection="1">
      <alignment wrapText="1"/>
      <protection/>
    </xf>
    <xf numFmtId="0" fontId="29" fillId="0" borderId="22" xfId="72" applyFont="1" applyBorder="1" applyAlignment="1" applyProtection="1">
      <alignment wrapText="1"/>
      <protection/>
    </xf>
    <xf numFmtId="0" fontId="29" fillId="0" borderId="60" xfId="72" applyFont="1" applyFill="1" applyBorder="1" applyAlignment="1" applyProtection="1">
      <alignment wrapText="1"/>
      <protection/>
    </xf>
    <xf numFmtId="0" fontId="30" fillId="0" borderId="53" xfId="72" applyFont="1" applyBorder="1" applyAlignment="1" applyProtection="1">
      <alignment horizontal="center" vertical="center" wrapText="1"/>
      <protection/>
    </xf>
    <xf numFmtId="0" fontId="30" fillId="0" borderId="25" xfId="72" applyFont="1" applyBorder="1" applyAlignment="1" applyProtection="1">
      <alignment horizontal="center" vertical="center" wrapText="1"/>
      <protection/>
    </xf>
    <xf numFmtId="0" fontId="30" fillId="0" borderId="24" xfId="72" applyFont="1" applyBorder="1" applyAlignment="1" applyProtection="1">
      <alignment vertical="center" wrapText="1"/>
      <protection/>
    </xf>
    <xf numFmtId="3" fontId="30" fillId="0" borderId="60" xfId="72" applyNumberFormat="1" applyFont="1" applyFill="1" applyBorder="1" applyAlignment="1" applyProtection="1">
      <alignment vertical="center" wrapText="1"/>
      <protection/>
    </xf>
    <xf numFmtId="0" fontId="30" fillId="0" borderId="0" xfId="72" applyFont="1" applyAlignment="1" applyProtection="1">
      <alignment wrapText="1"/>
      <protection/>
    </xf>
    <xf numFmtId="0" fontId="31" fillId="0" borderId="53" xfId="72" applyFont="1" applyBorder="1" applyAlignment="1" applyProtection="1">
      <alignment horizontal="center" vertical="center" wrapText="1"/>
      <protection/>
    </xf>
    <xf numFmtId="0" fontId="31" fillId="0" borderId="25" xfId="72" applyFont="1" applyBorder="1" applyAlignment="1" applyProtection="1">
      <alignment horizontal="center" vertical="center" wrapText="1"/>
      <protection/>
    </xf>
    <xf numFmtId="0" fontId="31" fillId="0" borderId="24" xfId="72" applyFont="1" applyBorder="1" applyAlignment="1" applyProtection="1">
      <alignment vertical="center" wrapText="1"/>
      <protection/>
    </xf>
    <xf numFmtId="3" fontId="31" fillId="0" borderId="60" xfId="72" applyNumberFormat="1" applyFont="1" applyFill="1" applyBorder="1" applyAlignment="1" applyProtection="1">
      <alignment vertical="center" wrapText="1"/>
      <protection/>
    </xf>
    <xf numFmtId="0" fontId="31" fillId="0" borderId="0" xfId="72" applyFont="1" applyAlignment="1" applyProtection="1">
      <alignment wrapText="1"/>
      <protection/>
    </xf>
    <xf numFmtId="0" fontId="27" fillId="0" borderId="57" xfId="72" applyFont="1" applyBorder="1" applyAlignment="1" applyProtection="1">
      <alignment horizontal="center" vertical="center" wrapText="1"/>
      <protection/>
    </xf>
    <xf numFmtId="0" fontId="27" fillId="0" borderId="61" xfId="72" applyFont="1" applyBorder="1" applyAlignment="1" applyProtection="1">
      <alignment horizontal="center" vertical="center" wrapText="1"/>
      <protection/>
    </xf>
    <xf numFmtId="0" fontId="27" fillId="0" borderId="59" xfId="72" applyFont="1" applyBorder="1" applyAlignment="1" applyProtection="1">
      <alignment vertical="center" wrapText="1"/>
      <protection/>
    </xf>
    <xf numFmtId="3" fontId="27" fillId="0" borderId="62" xfId="72" applyNumberFormat="1" applyFont="1" applyFill="1" applyBorder="1" applyAlignment="1" applyProtection="1">
      <alignment vertical="center" wrapText="1"/>
      <protection/>
    </xf>
    <xf numFmtId="0" fontId="27" fillId="0" borderId="0" xfId="72" applyFont="1" applyAlignment="1" applyProtection="1">
      <alignment vertical="top" wrapText="1"/>
      <protection/>
    </xf>
    <xf numFmtId="0" fontId="29" fillId="0" borderId="14" xfId="72" applyFont="1" applyBorder="1" applyAlignment="1" applyProtection="1">
      <alignment horizontal="center" vertical="center" wrapText="1"/>
      <protection/>
    </xf>
    <xf numFmtId="0" fontId="29" fillId="0" borderId="13" xfId="72" applyFont="1" applyBorder="1" applyAlignment="1" applyProtection="1">
      <alignment horizontal="center" vertical="center" wrapText="1"/>
      <protection/>
    </xf>
    <xf numFmtId="0" fontId="29" fillId="0" borderId="15" xfId="72" applyFont="1" applyBorder="1" applyAlignment="1" applyProtection="1">
      <alignment vertical="center" wrapText="1"/>
      <protection/>
    </xf>
    <xf numFmtId="3" fontId="29" fillId="0" borderId="62" xfId="72" applyNumberFormat="1" applyFont="1" applyFill="1" applyBorder="1" applyAlignment="1" applyProtection="1">
      <alignment vertical="center" wrapText="1"/>
      <protection/>
    </xf>
    <xf numFmtId="0" fontId="29" fillId="0" borderId="63" xfId="72" applyFont="1" applyBorder="1" applyAlignment="1" applyProtection="1">
      <alignment horizontal="center" vertical="center" wrapText="1"/>
      <protection/>
    </xf>
    <xf numFmtId="0" fontId="29" fillId="0" borderId="43" xfId="72" applyFont="1" applyBorder="1" applyAlignment="1" applyProtection="1">
      <alignment horizontal="center" vertical="center" wrapText="1"/>
      <protection/>
    </xf>
    <xf numFmtId="0" fontId="29" fillId="0" borderId="40" xfId="72" applyFont="1" applyFill="1" applyBorder="1" applyAlignment="1" applyProtection="1">
      <alignment vertical="center" wrapText="1"/>
      <protection/>
    </xf>
    <xf numFmtId="3" fontId="29" fillId="0" borderId="64" xfId="72" applyNumberFormat="1" applyFont="1" applyFill="1" applyBorder="1" applyAlignment="1" applyProtection="1">
      <alignment vertical="center" wrapText="1"/>
      <protection/>
    </xf>
    <xf numFmtId="0" fontId="32" fillId="0" borderId="53" xfId="72" applyFont="1" applyBorder="1" applyAlignment="1" applyProtection="1">
      <alignment horizontal="center" vertical="center" wrapText="1"/>
      <protection/>
    </xf>
    <xf numFmtId="0" fontId="32" fillId="0" borderId="22" xfId="72" applyFont="1" applyBorder="1" applyAlignment="1" applyProtection="1">
      <alignment horizontal="center" vertical="center" wrapText="1"/>
      <protection/>
    </xf>
    <xf numFmtId="0" fontId="32" fillId="0" borderId="22" xfId="72" applyFont="1" applyBorder="1" applyAlignment="1" applyProtection="1">
      <alignment vertical="center" wrapText="1"/>
      <protection/>
    </xf>
    <xf numFmtId="3" fontId="30" fillId="0" borderId="60" xfId="72" applyNumberFormat="1" applyFont="1" applyFill="1" applyBorder="1" applyAlignment="1" applyProtection="1">
      <alignment vertical="center" wrapText="1"/>
      <protection/>
    </xf>
    <xf numFmtId="0" fontId="32" fillId="0" borderId="0" xfId="72" applyFont="1" applyAlignment="1" applyProtection="1">
      <alignment wrapText="1"/>
      <protection/>
    </xf>
    <xf numFmtId="0" fontId="27" fillId="0" borderId="21" xfId="72" applyFont="1" applyBorder="1" applyAlignment="1" applyProtection="1">
      <alignment horizontal="center" vertical="center" wrapText="1"/>
      <protection/>
    </xf>
    <xf numFmtId="0" fontId="27" fillId="0" borderId="22" xfId="72" applyFont="1" applyBorder="1" applyAlignment="1" applyProtection="1">
      <alignment horizontal="center" vertical="center" wrapText="1"/>
      <protection/>
    </xf>
    <xf numFmtId="0" fontId="27" fillId="0" borderId="22" xfId="72" applyFont="1" applyBorder="1" applyAlignment="1" applyProtection="1">
      <alignment vertical="center" wrapText="1"/>
      <protection/>
    </xf>
    <xf numFmtId="3" fontId="29" fillId="0" borderId="60" xfId="72" applyNumberFormat="1" applyFont="1" applyFill="1" applyBorder="1" applyAlignment="1" applyProtection="1">
      <alignment vertical="center" wrapText="1"/>
      <protection/>
    </xf>
    <xf numFmtId="0" fontId="30" fillId="0" borderId="53" xfId="72" applyFont="1" applyBorder="1" applyAlignment="1" applyProtection="1">
      <alignment horizontal="center" vertical="center" wrapText="1"/>
      <protection/>
    </xf>
    <xf numFmtId="0" fontId="30" fillId="0" borderId="25" xfId="72" applyFont="1" applyBorder="1" applyAlignment="1" applyProtection="1">
      <alignment horizontal="center" vertical="center" wrapText="1"/>
      <protection/>
    </xf>
    <xf numFmtId="0" fontId="30" fillId="0" borderId="24" xfId="72" applyFont="1" applyBorder="1" applyAlignment="1" applyProtection="1">
      <alignment vertical="center" wrapText="1"/>
      <protection/>
    </xf>
    <xf numFmtId="3" fontId="30" fillId="0" borderId="65" xfId="72" applyNumberFormat="1" applyFont="1" applyFill="1" applyBorder="1" applyAlignment="1" applyProtection="1">
      <alignment vertical="center" wrapText="1"/>
      <protection/>
    </xf>
    <xf numFmtId="0" fontId="30" fillId="0" borderId="0" xfId="72" applyFont="1" applyAlignment="1" applyProtection="1">
      <alignment wrapText="1"/>
      <protection/>
    </xf>
    <xf numFmtId="0" fontId="33" fillId="0" borderId="53" xfId="72" applyFont="1" applyBorder="1" applyAlignment="1" applyProtection="1">
      <alignment horizontal="center" vertical="center" wrapText="1"/>
      <protection/>
    </xf>
    <xf numFmtId="0" fontId="33" fillId="0" borderId="25" xfId="72" applyFont="1" applyBorder="1" applyAlignment="1" applyProtection="1">
      <alignment horizontal="center" vertical="center" wrapText="1"/>
      <protection/>
    </xf>
    <xf numFmtId="0" fontId="33" fillId="0" borderId="24" xfId="72" applyFont="1" applyBorder="1" applyAlignment="1" applyProtection="1">
      <alignment vertical="center" wrapText="1"/>
      <protection/>
    </xf>
    <xf numFmtId="3" fontId="33" fillId="0" borderId="60" xfId="72" applyNumberFormat="1" applyFont="1" applyFill="1" applyBorder="1" applyAlignment="1" applyProtection="1">
      <alignment vertical="center" wrapText="1"/>
      <protection/>
    </xf>
    <xf numFmtId="0" fontId="33" fillId="0" borderId="0" xfId="72" applyFont="1" applyAlignment="1" applyProtection="1">
      <alignment wrapText="1"/>
      <protection/>
    </xf>
    <xf numFmtId="0" fontId="27" fillId="0" borderId="63" xfId="72" applyFont="1" applyBorder="1" applyAlignment="1" applyProtection="1">
      <alignment horizontal="center" vertical="center" wrapText="1"/>
      <protection/>
    </xf>
    <xf numFmtId="0" fontId="27" fillId="0" borderId="43" xfId="72" applyFont="1" applyBorder="1" applyAlignment="1" applyProtection="1">
      <alignment horizontal="center" vertical="center" wrapText="1"/>
      <protection/>
    </xf>
    <xf numFmtId="0" fontId="27" fillId="0" borderId="40" xfId="72" applyFont="1" applyBorder="1" applyAlignment="1" applyProtection="1">
      <alignment vertical="center" wrapText="1"/>
      <protection/>
    </xf>
    <xf numFmtId="3" fontId="27" fillId="0" borderId="64" xfId="72" applyNumberFormat="1" applyFont="1" applyFill="1" applyBorder="1" applyAlignment="1" applyProtection="1">
      <alignment vertical="center" wrapText="1"/>
      <protection/>
    </xf>
    <xf numFmtId="0" fontId="32" fillId="0" borderId="21" xfId="72" applyFont="1" applyBorder="1" applyAlignment="1" applyProtection="1">
      <alignment horizontal="center" vertical="center" wrapText="1"/>
      <protection/>
    </xf>
    <xf numFmtId="0" fontId="30" fillId="0" borderId="21" xfId="72" applyFont="1" applyBorder="1" applyAlignment="1" applyProtection="1">
      <alignment horizontal="center" vertical="center" wrapText="1"/>
      <protection/>
    </xf>
    <xf numFmtId="0" fontId="30" fillId="0" borderId="22" xfId="72" applyFont="1" applyBorder="1" applyAlignment="1" applyProtection="1">
      <alignment horizontal="center" vertical="center" wrapText="1"/>
      <protection/>
    </xf>
    <xf numFmtId="0" fontId="30" fillId="0" borderId="22" xfId="72" applyFont="1" applyBorder="1" applyAlignment="1" applyProtection="1">
      <alignment vertical="center" wrapText="1"/>
      <protection/>
    </xf>
    <xf numFmtId="3" fontId="29" fillId="0" borderId="65" xfId="72" applyNumberFormat="1" applyFont="1" applyFill="1" applyBorder="1" applyAlignment="1" applyProtection="1">
      <alignment vertical="center" wrapText="1"/>
      <protection/>
    </xf>
    <xf numFmtId="0" fontId="27" fillId="0" borderId="55" xfId="72" applyFont="1" applyBorder="1" applyAlignment="1" applyProtection="1">
      <alignment horizontal="center" vertical="center" wrapText="1"/>
      <protection/>
    </xf>
    <xf numFmtId="0" fontId="27" fillId="0" borderId="11" xfId="72" applyFont="1" applyBorder="1" applyAlignment="1" applyProtection="1">
      <alignment horizontal="center" vertical="center" wrapText="1"/>
      <protection/>
    </xf>
    <xf numFmtId="0" fontId="27" fillId="0" borderId="52" xfId="72" applyFont="1" applyBorder="1" applyAlignment="1" applyProtection="1">
      <alignment vertical="center" wrapText="1"/>
      <protection/>
    </xf>
    <xf numFmtId="3" fontId="29" fillId="0" borderId="66" xfId="72" applyNumberFormat="1" applyFont="1" applyFill="1" applyBorder="1" applyAlignment="1" applyProtection="1">
      <alignment vertical="center" wrapText="1"/>
      <protection/>
    </xf>
    <xf numFmtId="0" fontId="27" fillId="0" borderId="27" xfId="72" applyFont="1" applyBorder="1" applyAlignment="1" applyProtection="1">
      <alignment wrapText="1"/>
      <protection/>
    </xf>
    <xf numFmtId="0" fontId="27" fillId="0" borderId="28" xfId="72" applyFont="1" applyBorder="1" applyAlignment="1" applyProtection="1">
      <alignment wrapText="1"/>
      <protection/>
    </xf>
    <xf numFmtId="0" fontId="27" fillId="0" borderId="67" xfId="72" applyFont="1" applyBorder="1" applyAlignment="1" applyProtection="1">
      <alignment wrapText="1"/>
      <protection/>
    </xf>
    <xf numFmtId="0" fontId="27" fillId="0" borderId="68" xfId="72" applyFont="1" applyFill="1" applyBorder="1" applyAlignment="1" applyProtection="1">
      <alignment wrapText="1"/>
      <protection/>
    </xf>
    <xf numFmtId="0" fontId="32" fillId="0" borderId="65" xfId="72" applyFont="1" applyFill="1" applyBorder="1" applyAlignment="1" applyProtection="1">
      <alignment wrapText="1"/>
      <protection/>
    </xf>
    <xf numFmtId="3" fontId="27" fillId="0" borderId="65" xfId="72" applyNumberFormat="1" applyFont="1" applyFill="1" applyBorder="1" applyAlignment="1" applyProtection="1">
      <alignment wrapText="1"/>
      <protection/>
    </xf>
    <xf numFmtId="3" fontId="32" fillId="0" borderId="65" xfId="72" applyNumberFormat="1" applyFont="1" applyFill="1" applyBorder="1" applyAlignment="1" applyProtection="1">
      <alignment wrapText="1"/>
      <protection/>
    </xf>
    <xf numFmtId="0" fontId="32" fillId="0" borderId="47" xfId="72" applyFont="1" applyBorder="1" applyAlignment="1" applyProtection="1">
      <alignment wrapText="1"/>
      <protection/>
    </xf>
    <xf numFmtId="0" fontId="32" fillId="0" borderId="48" xfId="72" applyFont="1" applyBorder="1" applyAlignment="1" applyProtection="1">
      <alignment wrapText="1"/>
      <protection/>
    </xf>
    <xf numFmtId="0" fontId="32" fillId="0" borderId="69" xfId="72" applyFont="1" applyBorder="1" applyAlignment="1" applyProtection="1">
      <alignment wrapText="1"/>
      <protection/>
    </xf>
    <xf numFmtId="3" fontId="32" fillId="0" borderId="70" xfId="72" applyNumberFormat="1" applyFont="1" applyFill="1" applyBorder="1" applyAlignment="1" applyProtection="1">
      <alignment wrapText="1"/>
      <protection/>
    </xf>
    <xf numFmtId="0" fontId="28" fillId="0" borderId="71" xfId="72" applyFont="1" applyBorder="1" applyAlignment="1" applyProtection="1">
      <alignment wrapText="1"/>
      <protection/>
    </xf>
    <xf numFmtId="0" fontId="28" fillId="0" borderId="0" xfId="72" applyFont="1" applyBorder="1" applyAlignment="1" applyProtection="1">
      <alignment wrapText="1"/>
      <protection/>
    </xf>
    <xf numFmtId="0" fontId="28" fillId="0" borderId="72" xfId="72" applyFont="1" applyBorder="1" applyAlignment="1" applyProtection="1">
      <alignment wrapText="1"/>
      <protection/>
    </xf>
    <xf numFmtId="3" fontId="28" fillId="0" borderId="65" xfId="72" applyNumberFormat="1" applyFont="1" applyFill="1" applyBorder="1" applyAlignment="1" applyProtection="1">
      <alignment wrapText="1"/>
      <protection/>
    </xf>
    <xf numFmtId="3" fontId="27" fillId="0" borderId="70" xfId="72" applyNumberFormat="1" applyFont="1" applyFill="1" applyBorder="1" applyAlignment="1" applyProtection="1">
      <alignment wrapText="1"/>
      <protection/>
    </xf>
    <xf numFmtId="0" fontId="27" fillId="0" borderId="47" xfId="72" applyFont="1" applyBorder="1" applyAlignment="1" applyProtection="1">
      <alignment wrapText="1"/>
      <protection/>
    </xf>
    <xf numFmtId="0" fontId="27" fillId="0" borderId="48" xfId="72" applyFont="1" applyBorder="1" applyAlignment="1" applyProtection="1">
      <alignment wrapText="1"/>
      <protection/>
    </xf>
    <xf numFmtId="0" fontId="27" fillId="0" borderId="69" xfId="72" applyFont="1" applyBorder="1" applyAlignment="1" applyProtection="1">
      <alignment wrapText="1"/>
      <protection/>
    </xf>
    <xf numFmtId="0" fontId="27" fillId="0" borderId="70" xfId="72" applyFont="1" applyFill="1" applyBorder="1" applyAlignment="1" applyProtection="1">
      <alignment wrapText="1"/>
      <protection/>
    </xf>
    <xf numFmtId="0" fontId="27" fillId="0" borderId="0" xfId="72" applyFont="1" applyFill="1" applyAlignment="1" applyProtection="1">
      <alignment wrapText="1"/>
      <protection/>
    </xf>
    <xf numFmtId="0" fontId="2" fillId="0" borderId="0" xfId="67" applyFill="1" applyAlignment="1" applyProtection="1">
      <alignment horizontal="center"/>
      <protection/>
    </xf>
    <xf numFmtId="0" fontId="2" fillId="0" borderId="0" xfId="67" applyFill="1" applyProtection="1">
      <alignment/>
      <protection/>
    </xf>
    <xf numFmtId="0" fontId="35" fillId="0" borderId="0" xfId="67" applyFont="1" applyFill="1" applyProtection="1">
      <alignment/>
      <protection/>
    </xf>
    <xf numFmtId="0" fontId="23" fillId="0" borderId="0" xfId="67" applyFont="1" applyFill="1" applyAlignment="1" applyProtection="1">
      <alignment horizontal="center"/>
      <protection/>
    </xf>
    <xf numFmtId="0" fontId="27" fillId="0" borderId="0" xfId="67" applyFont="1" applyFill="1" applyProtection="1">
      <alignment/>
      <protection/>
    </xf>
    <xf numFmtId="0" fontId="28" fillId="0" borderId="10" xfId="67" applyFont="1" applyFill="1" applyBorder="1" applyAlignment="1" applyProtection="1">
      <alignment horizontal="center" vertical="center" wrapText="1"/>
      <protection/>
    </xf>
    <xf numFmtId="0" fontId="40" fillId="0" borderId="10" xfId="67" applyFont="1" applyFill="1" applyBorder="1" applyAlignment="1" applyProtection="1">
      <alignment horizontal="center"/>
      <protection/>
    </xf>
    <xf numFmtId="0" fontId="40" fillId="0" borderId="0" xfId="67" applyFont="1" applyFill="1" applyAlignment="1" applyProtection="1">
      <alignment horizontal="center"/>
      <protection/>
    </xf>
    <xf numFmtId="0" fontId="13" fillId="0" borderId="0" xfId="67" applyFont="1" applyFill="1" applyBorder="1" applyAlignment="1" applyProtection="1">
      <alignment/>
      <protection/>
    </xf>
    <xf numFmtId="0" fontId="13" fillId="0" borderId="0" xfId="67" applyFont="1" applyFill="1" applyBorder="1" applyAlignment="1" applyProtection="1">
      <alignment horizontal="center"/>
      <protection/>
    </xf>
    <xf numFmtId="3" fontId="27" fillId="0" borderId="10" xfId="67" applyNumberFormat="1" applyFont="1" applyFill="1" applyBorder="1" applyAlignment="1" applyProtection="1">
      <alignment horizontal="center" vertical="center" wrapText="1"/>
      <protection/>
    </xf>
    <xf numFmtId="0" fontId="21" fillId="0" borderId="0" xfId="66" applyAlignment="1" applyProtection="1">
      <alignment vertical="center"/>
      <protection/>
    </xf>
    <xf numFmtId="3" fontId="22" fillId="0" borderId="10" xfId="0" applyNumberFormat="1" applyFont="1" applyFill="1" applyBorder="1" applyAlignment="1" applyProtection="1">
      <alignment horizontal="center"/>
      <protection/>
    </xf>
    <xf numFmtId="3" fontId="28" fillId="0" borderId="10" xfId="67" applyNumberFormat="1" applyFont="1" applyFill="1" applyBorder="1" applyAlignment="1" applyProtection="1">
      <alignment horizontal="center" vertical="center"/>
      <protection/>
    </xf>
    <xf numFmtId="0" fontId="42" fillId="0" borderId="0" xfId="66" applyFont="1" applyAlignment="1" applyProtection="1">
      <alignment vertical="center"/>
      <protection/>
    </xf>
    <xf numFmtId="0" fontId="21" fillId="0" borderId="0" xfId="66" applyProtection="1">
      <alignment/>
      <protection/>
    </xf>
    <xf numFmtId="3" fontId="7" fillId="0" borderId="10" xfId="66" applyNumberFormat="1" applyFont="1" applyBorder="1" applyAlignment="1" applyProtection="1">
      <alignment horizontal="right" vertical="center"/>
      <protection/>
    </xf>
    <xf numFmtId="0" fontId="27" fillId="0" borderId="0" xfId="67" applyFont="1" applyFill="1" applyBorder="1" applyAlignment="1" applyProtection="1">
      <alignment vertical="center"/>
      <protection/>
    </xf>
    <xf numFmtId="0" fontId="27" fillId="0" borderId="0" xfId="67" applyFont="1" applyFill="1" applyAlignment="1" applyProtection="1">
      <alignment vertical="center"/>
      <protection/>
    </xf>
    <xf numFmtId="3" fontId="28" fillId="0" borderId="10" xfId="67" applyNumberFormat="1" applyFont="1" applyFill="1" applyBorder="1" applyAlignment="1" applyProtection="1">
      <alignment horizontal="right" vertical="center"/>
      <protection/>
    </xf>
    <xf numFmtId="0" fontId="28" fillId="0" borderId="0" xfId="67" applyFont="1" applyFill="1" applyAlignment="1" applyProtection="1">
      <alignment horizontal="right" vertical="center"/>
      <protection/>
    </xf>
    <xf numFmtId="0" fontId="2" fillId="0" borderId="0" xfId="67" applyFill="1" applyAlignment="1" applyProtection="1">
      <alignment horizontal="right"/>
      <protection/>
    </xf>
    <xf numFmtId="3" fontId="39" fillId="0" borderId="10" xfId="67" applyNumberFormat="1" applyFont="1" applyFill="1" applyBorder="1" applyAlignment="1" applyProtection="1">
      <alignment horizontal="center" vertical="center" wrapText="1"/>
      <protection/>
    </xf>
    <xf numFmtId="0" fontId="39" fillId="0" borderId="0" xfId="67" applyFont="1" applyFill="1" applyAlignment="1" applyProtection="1">
      <alignment horizontal="right" vertical="center"/>
      <protection/>
    </xf>
    <xf numFmtId="0" fontId="44" fillId="0" borderId="0" xfId="67" applyFont="1" applyFill="1" applyAlignment="1" applyProtection="1">
      <alignment horizontal="right"/>
      <protection/>
    </xf>
    <xf numFmtId="3" fontId="27" fillId="0" borderId="10" xfId="67" applyNumberFormat="1" applyFont="1" applyFill="1" applyBorder="1" applyAlignment="1" applyProtection="1">
      <alignment horizontal="right" vertical="center" wrapText="1"/>
      <protection/>
    </xf>
    <xf numFmtId="0" fontId="21" fillId="0" borderId="0" xfId="64" applyAlignment="1" applyProtection="1">
      <alignment vertical="center"/>
      <protection/>
    </xf>
    <xf numFmtId="0" fontId="42" fillId="0" borderId="0" xfId="64" applyFont="1" applyAlignment="1" applyProtection="1">
      <alignment vertical="center"/>
      <protection/>
    </xf>
    <xf numFmtId="0" fontId="21" fillId="0" borderId="0" xfId="64" applyProtection="1">
      <alignment/>
      <protection/>
    </xf>
    <xf numFmtId="0" fontId="27" fillId="0" borderId="0" xfId="0" applyFont="1" applyFill="1" applyAlignment="1" applyProtection="1">
      <alignment horizontal="center"/>
      <protection/>
    </xf>
    <xf numFmtId="0" fontId="39" fillId="0" borderId="0" xfId="0" applyFont="1" applyFill="1" applyAlignment="1" applyProtection="1">
      <alignment/>
      <protection/>
    </xf>
    <xf numFmtId="3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right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7" fillId="0" borderId="29" xfId="0" applyFont="1" applyFill="1" applyBorder="1" applyAlignment="1" applyProtection="1">
      <alignment horizontal="center"/>
      <protection/>
    </xf>
    <xf numFmtId="0" fontId="27" fillId="0" borderId="29" xfId="0" applyFont="1" applyFill="1" applyBorder="1" applyAlignment="1" applyProtection="1">
      <alignment/>
      <protection/>
    </xf>
    <xf numFmtId="0" fontId="39" fillId="0" borderId="53" xfId="0" applyFont="1" applyFill="1" applyBorder="1" applyAlignment="1" applyProtection="1">
      <alignment horizontal="center" vertical="center"/>
      <protection/>
    </xf>
    <xf numFmtId="0" fontId="39" fillId="0" borderId="23" xfId="0" applyFont="1" applyFill="1" applyBorder="1" applyAlignment="1" applyProtection="1">
      <alignment horizontal="center" vertical="center"/>
      <protection/>
    </xf>
    <xf numFmtId="3" fontId="39" fillId="0" borderId="23" xfId="0" applyNumberFormat="1" applyFont="1" applyFill="1" applyBorder="1" applyAlignment="1" applyProtection="1">
      <alignment vertical="center"/>
      <protection/>
    </xf>
    <xf numFmtId="0" fontId="39" fillId="0" borderId="26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27" fillId="0" borderId="54" xfId="0" applyFont="1" applyFill="1" applyBorder="1" applyAlignment="1" applyProtection="1">
      <alignment horizontal="center"/>
      <protection/>
    </xf>
    <xf numFmtId="0" fontId="45" fillId="0" borderId="29" xfId="0" applyFont="1" applyFill="1" applyBorder="1" applyAlignment="1" applyProtection="1">
      <alignment/>
      <protection/>
    </xf>
    <xf numFmtId="0" fontId="45" fillId="0" borderId="29" xfId="0" applyFont="1" applyFill="1" applyBorder="1" applyAlignment="1" applyProtection="1">
      <alignment vertical="center"/>
      <protection/>
    </xf>
    <xf numFmtId="0" fontId="27" fillId="0" borderId="31" xfId="0" applyFont="1" applyFill="1" applyBorder="1" applyAlignment="1" applyProtection="1">
      <alignment/>
      <protection/>
    </xf>
    <xf numFmtId="0" fontId="46" fillId="0" borderId="0" xfId="0" applyFont="1" applyFill="1" applyAlignment="1" applyProtection="1">
      <alignment vertical="center"/>
      <protection/>
    </xf>
    <xf numFmtId="49" fontId="27" fillId="0" borderId="29" xfId="0" applyNumberFormat="1" applyFont="1" applyFill="1" applyBorder="1" applyAlignment="1" applyProtection="1">
      <alignment horizontal="center"/>
      <protection/>
    </xf>
    <xf numFmtId="0" fontId="28" fillId="0" borderId="53" xfId="0" applyFont="1" applyFill="1" applyBorder="1" applyAlignment="1" applyProtection="1">
      <alignment horizontal="center" vertical="center"/>
      <protection/>
    </xf>
    <xf numFmtId="49" fontId="28" fillId="0" borderId="23" xfId="0" applyNumberFormat="1" applyFont="1" applyFill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left" vertical="center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3" fontId="28" fillId="0" borderId="23" xfId="0" applyNumberFormat="1" applyFont="1" applyFill="1" applyBorder="1" applyAlignment="1" applyProtection="1">
      <alignment horizontal="right" vertical="center"/>
      <protection/>
    </xf>
    <xf numFmtId="3" fontId="28" fillId="0" borderId="23" xfId="0" applyNumberFormat="1" applyFont="1" applyFill="1" applyBorder="1" applyAlignment="1" applyProtection="1">
      <alignment horizontal="center" vertical="center"/>
      <protection/>
    </xf>
    <xf numFmtId="0" fontId="28" fillId="0" borderId="26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horizontal="center"/>
      <protection/>
    </xf>
    <xf numFmtId="49" fontId="27" fillId="0" borderId="10" xfId="0" applyNumberFormat="1" applyFont="1" applyFill="1" applyBorder="1" applyAlignment="1" applyProtection="1">
      <alignment horizontal="center"/>
      <protection/>
    </xf>
    <xf numFmtId="49" fontId="27" fillId="0" borderId="10" xfId="0" applyNumberFormat="1" applyFont="1" applyFill="1" applyBorder="1" applyAlignment="1" applyProtection="1">
      <alignment horizontal="center" vertical="top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3" fontId="27" fillId="0" borderId="10" xfId="0" applyNumberFormat="1" applyFont="1" applyFill="1" applyBorder="1" applyAlignment="1" applyProtection="1">
      <alignment vertical="center"/>
      <protection/>
    </xf>
    <xf numFmtId="3" fontId="27" fillId="0" borderId="10" xfId="0" applyNumberFormat="1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wrapText="1"/>
      <protection/>
    </xf>
    <xf numFmtId="0" fontId="28" fillId="0" borderId="23" xfId="0" applyFont="1" applyFill="1" applyBorder="1" applyAlignment="1" applyProtection="1">
      <alignment horizontal="left" vertical="center" wrapText="1"/>
      <protection/>
    </xf>
    <xf numFmtId="0" fontId="27" fillId="0" borderId="53" xfId="0" applyFont="1" applyFill="1" applyBorder="1" applyAlignment="1" applyProtection="1">
      <alignment horizontal="center"/>
      <protection/>
    </xf>
    <xf numFmtId="49" fontId="27" fillId="0" borderId="23" xfId="0" applyNumberFormat="1" applyFont="1" applyFill="1" applyBorder="1" applyAlignment="1" applyProtection="1">
      <alignment horizontal="center"/>
      <protection/>
    </xf>
    <xf numFmtId="49" fontId="27" fillId="0" borderId="23" xfId="0" applyNumberFormat="1" applyFont="1" applyFill="1" applyBorder="1" applyAlignment="1" applyProtection="1">
      <alignment horizontal="center" vertical="top"/>
      <protection/>
    </xf>
    <xf numFmtId="0" fontId="27" fillId="0" borderId="23" xfId="0" applyFont="1" applyFill="1" applyBorder="1" applyAlignment="1" applyProtection="1">
      <alignment horizontal="left" vertical="center" wrapText="1"/>
      <protection/>
    </xf>
    <xf numFmtId="0" fontId="27" fillId="0" borderId="23" xfId="0" applyFont="1" applyFill="1" applyBorder="1" applyAlignment="1" applyProtection="1">
      <alignment horizontal="center" vertical="center"/>
      <protection/>
    </xf>
    <xf numFmtId="3" fontId="27" fillId="0" borderId="23" xfId="0" applyNumberFormat="1" applyFont="1" applyFill="1" applyBorder="1" applyAlignment="1" applyProtection="1">
      <alignment vertical="center"/>
      <protection/>
    </xf>
    <xf numFmtId="3" fontId="27" fillId="0" borderId="23" xfId="0" applyNumberFormat="1" applyFont="1" applyFill="1" applyBorder="1" applyAlignment="1" applyProtection="1">
      <alignment horizontal="center" vertical="center"/>
      <protection/>
    </xf>
    <xf numFmtId="0" fontId="27" fillId="0" borderId="26" xfId="0" applyFont="1" applyFill="1" applyBorder="1" applyAlignment="1" applyProtection="1">
      <alignment horizontal="left" vertical="center" wrapText="1"/>
      <protection/>
    </xf>
    <xf numFmtId="0" fontId="27" fillId="0" borderId="57" xfId="0" applyFont="1" applyFill="1" applyBorder="1" applyAlignment="1" applyProtection="1">
      <alignment horizontal="center"/>
      <protection/>
    </xf>
    <xf numFmtId="49" fontId="27" fillId="0" borderId="19" xfId="0" applyNumberFormat="1" applyFont="1" applyFill="1" applyBorder="1" applyAlignment="1" applyProtection="1">
      <alignment horizontal="center"/>
      <protection/>
    </xf>
    <xf numFmtId="49" fontId="27" fillId="0" borderId="19" xfId="0" applyNumberFormat="1" applyFont="1" applyFill="1" applyBorder="1" applyAlignment="1" applyProtection="1">
      <alignment horizontal="center" vertical="top"/>
      <protection/>
    </xf>
    <xf numFmtId="0" fontId="27" fillId="0" borderId="19" xfId="0" applyFont="1" applyFill="1" applyBorder="1" applyAlignment="1" applyProtection="1">
      <alignment horizontal="left" vertical="center" wrapText="1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3" fontId="27" fillId="0" borderId="19" xfId="0" applyNumberFormat="1" applyFont="1" applyFill="1" applyBorder="1" applyAlignment="1" applyProtection="1">
      <alignment vertical="center"/>
      <protection/>
    </xf>
    <xf numFmtId="3" fontId="27" fillId="0" borderId="19" xfId="0" applyNumberFormat="1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vertical="center" wrapText="1"/>
      <protection/>
    </xf>
    <xf numFmtId="3" fontId="39" fillId="0" borderId="23" xfId="0" applyNumberFormat="1" applyFont="1" applyFill="1" applyBorder="1" applyAlignment="1" applyProtection="1">
      <alignment horizontal="right" vertical="center"/>
      <protection/>
    </xf>
    <xf numFmtId="3" fontId="39" fillId="0" borderId="23" xfId="0" applyNumberFormat="1" applyFont="1" applyFill="1" applyBorder="1" applyAlignment="1" applyProtection="1">
      <alignment horizontal="center" vertical="center"/>
      <protection/>
    </xf>
    <xf numFmtId="0" fontId="39" fillId="0" borderId="26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/>
      <protection/>
    </xf>
    <xf numFmtId="49" fontId="27" fillId="0" borderId="29" xfId="0" applyNumberFormat="1" applyFont="1" applyFill="1" applyBorder="1" applyAlignment="1" applyProtection="1">
      <alignment horizontal="center" vertical="top"/>
      <protection/>
    </xf>
    <xf numFmtId="0" fontId="27" fillId="0" borderId="29" xfId="0" applyFont="1" applyFill="1" applyBorder="1" applyAlignment="1" applyProtection="1">
      <alignment horizontal="left" vertical="center" wrapText="1"/>
      <protection/>
    </xf>
    <xf numFmtId="0" fontId="27" fillId="0" borderId="29" xfId="0" applyFont="1" applyFill="1" applyBorder="1" applyAlignment="1" applyProtection="1">
      <alignment horizontal="center" vertical="center"/>
      <protection/>
    </xf>
    <xf numFmtId="3" fontId="27" fillId="0" borderId="29" xfId="0" applyNumberFormat="1" applyFont="1" applyFill="1" applyBorder="1" applyAlignment="1" applyProtection="1">
      <alignment vertical="center"/>
      <protection/>
    </xf>
    <xf numFmtId="3" fontId="27" fillId="0" borderId="29" xfId="0" applyNumberFormat="1" applyFont="1" applyFill="1" applyBorder="1" applyAlignment="1" applyProtection="1">
      <alignment horizontal="center" vertical="center"/>
      <protection/>
    </xf>
    <xf numFmtId="0" fontId="27" fillId="0" borderId="31" xfId="0" applyFont="1" applyFill="1" applyBorder="1" applyAlignment="1" applyProtection="1">
      <alignment vertical="center" wrapText="1"/>
      <protection/>
    </xf>
    <xf numFmtId="3" fontId="27" fillId="0" borderId="10" xfId="0" applyNumberFormat="1" applyFont="1" applyFill="1" applyBorder="1" applyAlignment="1" applyProtection="1">
      <alignment horizontal="right" vertical="center"/>
      <protection/>
    </xf>
    <xf numFmtId="3" fontId="28" fillId="0" borderId="23" xfId="0" applyNumberFormat="1" applyFont="1" applyFill="1" applyBorder="1" applyAlignment="1" applyProtection="1">
      <alignment vertical="center"/>
      <protection/>
    </xf>
    <xf numFmtId="0" fontId="28" fillId="0" borderId="26" xfId="0" applyFont="1" applyFill="1" applyBorder="1" applyAlignment="1" applyProtection="1">
      <alignment horizontal="center" vertical="center" wrapText="1"/>
      <protection/>
    </xf>
    <xf numFmtId="0" fontId="27" fillId="0" borderId="55" xfId="0" applyFont="1" applyFill="1" applyBorder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top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3" fontId="27" fillId="0" borderId="11" xfId="0" applyNumberFormat="1" applyFont="1" applyFill="1" applyBorder="1" applyAlignment="1" applyProtection="1">
      <alignment vertical="center"/>
      <protection/>
    </xf>
    <xf numFmtId="3" fontId="27" fillId="0" borderId="11" xfId="0" applyNumberFormat="1" applyFont="1" applyFill="1" applyBorder="1" applyAlignment="1" applyProtection="1">
      <alignment horizontal="right" vertical="center"/>
      <protection/>
    </xf>
    <xf numFmtId="49" fontId="27" fillId="0" borderId="10" xfId="0" applyNumberFormat="1" applyFont="1" applyFill="1" applyBorder="1" applyAlignment="1" applyProtection="1">
      <alignment horizontal="center" vertical="top" wrapText="1"/>
      <protection/>
    </xf>
    <xf numFmtId="3" fontId="27" fillId="0" borderId="19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Alignment="1" applyProtection="1">
      <alignment vertical="center"/>
      <protection/>
    </xf>
    <xf numFmtId="0" fontId="39" fillId="0" borderId="23" xfId="0" applyFont="1" applyFill="1" applyBorder="1" applyAlignment="1" applyProtection="1">
      <alignment horizontal="left" vertical="center" wrapText="1"/>
      <protection/>
    </xf>
    <xf numFmtId="0" fontId="27" fillId="0" borderId="0" xfId="71" applyFont="1" applyFill="1" applyAlignment="1" applyProtection="1">
      <alignment vertical="center"/>
      <protection/>
    </xf>
    <xf numFmtId="3" fontId="27" fillId="0" borderId="0" xfId="71" applyNumberFormat="1" applyFont="1" applyFill="1" applyAlignment="1" applyProtection="1">
      <alignment horizontal="center" vertical="center" wrapText="1"/>
      <protection/>
    </xf>
    <xf numFmtId="3" fontId="27" fillId="0" borderId="0" xfId="71" applyNumberFormat="1" applyFont="1" applyFill="1" applyAlignment="1" applyProtection="1">
      <alignment horizontal="center" vertical="center"/>
      <protection/>
    </xf>
    <xf numFmtId="3" fontId="27" fillId="0" borderId="0" xfId="71" applyNumberFormat="1" applyFont="1" applyFill="1" applyAlignment="1" applyProtection="1">
      <alignment horizontal="left" vertical="center"/>
      <protection/>
    </xf>
    <xf numFmtId="3" fontId="47" fillId="0" borderId="0" xfId="71" applyNumberFormat="1" applyFont="1" applyFill="1" applyAlignment="1" applyProtection="1">
      <alignment horizontal="left" vertical="center"/>
      <protection/>
    </xf>
    <xf numFmtId="3" fontId="27" fillId="0" borderId="0" xfId="71" applyNumberFormat="1" applyFont="1" applyFill="1" applyAlignment="1" applyProtection="1">
      <alignment horizontal="left" vertical="center" wrapText="1"/>
      <protection/>
    </xf>
    <xf numFmtId="0" fontId="27" fillId="0" borderId="0" xfId="71" applyFont="1" applyFill="1" applyAlignment="1" applyProtection="1">
      <alignment vertical="center" wrapText="1"/>
      <protection/>
    </xf>
    <xf numFmtId="0" fontId="27" fillId="0" borderId="0" xfId="71" applyFont="1" applyFill="1" applyAlignment="1" applyProtection="1">
      <alignment horizontal="center" vertical="center"/>
      <protection/>
    </xf>
    <xf numFmtId="0" fontId="27" fillId="0" borderId="0" xfId="71" applyFont="1" applyFill="1" applyAlignment="1" applyProtection="1">
      <alignment horizontal="center" vertical="center" wrapText="1"/>
      <protection/>
    </xf>
    <xf numFmtId="0" fontId="47" fillId="0" borderId="0" xfId="71" applyFont="1" applyFill="1" applyAlignment="1" applyProtection="1">
      <alignment vertical="center" wrapText="1"/>
      <protection/>
    </xf>
    <xf numFmtId="3" fontId="30" fillId="0" borderId="46" xfId="71" applyNumberFormat="1" applyFont="1" applyFill="1" applyBorder="1" applyAlignment="1" applyProtection="1">
      <alignment horizontal="center" vertical="top" wrapText="1"/>
      <protection/>
    </xf>
    <xf numFmtId="3" fontId="30" fillId="0" borderId="13" xfId="71" applyNumberFormat="1" applyFont="1" applyFill="1" applyBorder="1" applyAlignment="1" applyProtection="1">
      <alignment horizontal="center" vertical="top" wrapText="1"/>
      <protection/>
    </xf>
    <xf numFmtId="0" fontId="28" fillId="0" borderId="0" xfId="71" applyFont="1" applyFill="1" applyAlignment="1" applyProtection="1">
      <alignment vertical="center"/>
      <protection/>
    </xf>
    <xf numFmtId="0" fontId="30" fillId="0" borderId="19" xfId="71" applyFont="1" applyFill="1" applyBorder="1" applyAlignment="1" applyProtection="1">
      <alignment horizontal="center" vertical="top" wrapText="1"/>
      <protection/>
    </xf>
    <xf numFmtId="0" fontId="30" fillId="0" borderId="41" xfId="71" applyFont="1" applyFill="1" applyBorder="1" applyAlignment="1" applyProtection="1">
      <alignment horizontal="center" vertical="top" wrapText="1"/>
      <protection/>
    </xf>
    <xf numFmtId="3" fontId="30" fillId="0" borderId="10" xfId="71" applyNumberFormat="1" applyFont="1" applyFill="1" applyBorder="1" applyAlignment="1" applyProtection="1">
      <alignment horizontal="center" vertical="top" wrapText="1"/>
      <protection/>
    </xf>
    <xf numFmtId="0" fontId="14" fillId="0" borderId="10" xfId="71" applyFont="1" applyFill="1" applyBorder="1" applyAlignment="1" applyProtection="1">
      <alignment horizontal="center" vertical="center" wrapText="1"/>
      <protection/>
    </xf>
    <xf numFmtId="3" fontId="14" fillId="0" borderId="10" xfId="71" applyNumberFormat="1" applyFont="1" applyFill="1" applyBorder="1" applyAlignment="1" applyProtection="1">
      <alignment horizontal="center" vertical="center" wrapText="1"/>
      <protection/>
    </xf>
    <xf numFmtId="0" fontId="14" fillId="0" borderId="0" xfId="71" applyFont="1" applyFill="1" applyAlignment="1" applyProtection="1">
      <alignment horizontal="center" vertical="center"/>
      <protection/>
    </xf>
    <xf numFmtId="0" fontId="48" fillId="0" borderId="73" xfId="71" applyFont="1" applyFill="1" applyBorder="1" applyAlignment="1" applyProtection="1">
      <alignment horizontal="center" vertical="center"/>
      <protection/>
    </xf>
    <xf numFmtId="0" fontId="48" fillId="0" borderId="74" xfId="71" applyFont="1" applyFill="1" applyBorder="1" applyAlignment="1" applyProtection="1">
      <alignment horizontal="center" vertical="center"/>
      <protection/>
    </xf>
    <xf numFmtId="0" fontId="48" fillId="0" borderId="74" xfId="71" applyFont="1" applyFill="1" applyBorder="1" applyAlignment="1" applyProtection="1">
      <alignment horizontal="center" vertical="center" wrapText="1"/>
      <protection/>
    </xf>
    <xf numFmtId="0" fontId="49" fillId="0" borderId="74" xfId="71" applyFont="1" applyFill="1" applyBorder="1" applyAlignment="1" applyProtection="1">
      <alignment horizontal="center" vertical="center" wrapText="1"/>
      <protection/>
    </xf>
    <xf numFmtId="3" fontId="48" fillId="0" borderId="74" xfId="71" applyNumberFormat="1" applyFont="1" applyFill="1" applyBorder="1" applyAlignment="1" applyProtection="1">
      <alignment horizontal="center" vertical="center" wrapText="1"/>
      <protection/>
    </xf>
    <xf numFmtId="3" fontId="48" fillId="0" borderId="75" xfId="71" applyNumberFormat="1" applyFont="1" applyFill="1" applyBorder="1" applyAlignment="1" applyProtection="1">
      <alignment horizontal="center" vertical="center" wrapText="1"/>
      <protection/>
    </xf>
    <xf numFmtId="0" fontId="48" fillId="0" borderId="0" xfId="71" applyFont="1" applyFill="1" applyAlignment="1" applyProtection="1">
      <alignment horizontal="center" vertical="center"/>
      <protection/>
    </xf>
    <xf numFmtId="3" fontId="50" fillId="0" borderId="25" xfId="71" applyNumberFormat="1" applyFont="1" applyFill="1" applyBorder="1" applyAlignment="1" applyProtection="1">
      <alignment horizontal="right" vertical="center" wrapText="1"/>
      <protection/>
    </xf>
    <xf numFmtId="3" fontId="50" fillId="0" borderId="23" xfId="71" applyNumberFormat="1" applyFont="1" applyFill="1" applyBorder="1" applyAlignment="1" applyProtection="1">
      <alignment horizontal="right" vertical="center" wrapText="1"/>
      <protection/>
    </xf>
    <xf numFmtId="0" fontId="50" fillId="0" borderId="0" xfId="71" applyFont="1" applyFill="1" applyAlignment="1" applyProtection="1">
      <alignment horizontal="center" vertical="center"/>
      <protection/>
    </xf>
    <xf numFmtId="0" fontId="48" fillId="0" borderId="24" xfId="71" applyFont="1" applyFill="1" applyBorder="1" applyAlignment="1" applyProtection="1">
      <alignment horizontal="center"/>
      <protection/>
    </xf>
    <xf numFmtId="0" fontId="48" fillId="0" borderId="22" xfId="71" applyFont="1" applyFill="1" applyBorder="1" applyAlignment="1" applyProtection="1">
      <alignment horizontal="center"/>
      <protection/>
    </xf>
    <xf numFmtId="0" fontId="48" fillId="0" borderId="22" xfId="71" applyFont="1" applyFill="1" applyBorder="1" applyAlignment="1" applyProtection="1">
      <alignment horizontal="center" wrapText="1"/>
      <protection/>
    </xf>
    <xf numFmtId="0" fontId="48" fillId="0" borderId="22" xfId="71" applyFont="1" applyFill="1" applyBorder="1" applyAlignment="1" applyProtection="1">
      <alignment horizontal="left" wrapText="1"/>
      <protection/>
    </xf>
    <xf numFmtId="0" fontId="49" fillId="0" borderId="22" xfId="71" applyFont="1" applyFill="1" applyBorder="1" applyAlignment="1" applyProtection="1">
      <alignment horizontal="center" wrapText="1"/>
      <protection/>
    </xf>
    <xf numFmtId="3" fontId="48" fillId="0" borderId="22" xfId="71" applyNumberFormat="1" applyFont="1" applyFill="1" applyBorder="1" applyAlignment="1" applyProtection="1">
      <alignment horizontal="center" wrapText="1"/>
      <protection/>
    </xf>
    <xf numFmtId="3" fontId="48" fillId="0" borderId="25" xfId="71" applyNumberFormat="1" applyFont="1" applyFill="1" applyBorder="1" applyAlignment="1" applyProtection="1">
      <alignment horizontal="center" wrapText="1"/>
      <protection/>
    </xf>
    <xf numFmtId="0" fontId="48" fillId="0" borderId="0" xfId="71" applyFont="1" applyFill="1" applyAlignment="1" applyProtection="1">
      <alignment horizontal="center"/>
      <protection/>
    </xf>
    <xf numFmtId="3" fontId="45" fillId="0" borderId="23" xfId="71" applyNumberFormat="1" applyFont="1" applyFill="1" applyBorder="1" applyAlignment="1" applyProtection="1">
      <alignment horizontal="right" vertical="center"/>
      <protection/>
    </xf>
    <xf numFmtId="0" fontId="45" fillId="0" borderId="23" xfId="71" applyFont="1" applyFill="1" applyBorder="1" applyAlignment="1" applyProtection="1">
      <alignment horizontal="right" vertical="center"/>
      <protection/>
    </xf>
    <xf numFmtId="0" fontId="45" fillId="0" borderId="0" xfId="71" applyFont="1" applyFill="1" applyAlignment="1" applyProtection="1">
      <alignment vertical="center"/>
      <protection/>
    </xf>
    <xf numFmtId="0" fontId="48" fillId="0" borderId="33" xfId="71" applyFont="1" applyFill="1" applyBorder="1" applyAlignment="1" applyProtection="1">
      <alignment horizontal="center"/>
      <protection/>
    </xf>
    <xf numFmtId="0" fontId="48" fillId="0" borderId="36" xfId="71" applyFont="1" applyFill="1" applyBorder="1" applyAlignment="1" applyProtection="1">
      <alignment horizontal="center"/>
      <protection/>
    </xf>
    <xf numFmtId="0" fontId="48" fillId="0" borderId="36" xfId="71" applyFont="1" applyFill="1" applyBorder="1" applyAlignment="1" applyProtection="1">
      <alignment horizontal="center" wrapText="1"/>
      <protection/>
    </xf>
    <xf numFmtId="0" fontId="49" fillId="0" borderId="36" xfId="71" applyFont="1" applyFill="1" applyBorder="1" applyAlignment="1" applyProtection="1">
      <alignment horizontal="center" wrapText="1"/>
      <protection/>
    </xf>
    <xf numFmtId="3" fontId="48" fillId="0" borderId="36" xfId="71" applyNumberFormat="1" applyFont="1" applyFill="1" applyBorder="1" applyAlignment="1" applyProtection="1">
      <alignment horizontal="center" wrapText="1"/>
      <protection/>
    </xf>
    <xf numFmtId="3" fontId="48" fillId="0" borderId="37" xfId="71" applyNumberFormat="1" applyFont="1" applyFill="1" applyBorder="1" applyAlignment="1" applyProtection="1">
      <alignment horizontal="center" wrapText="1"/>
      <protection/>
    </xf>
    <xf numFmtId="3" fontId="22" fillId="0" borderId="10" xfId="71" applyNumberFormat="1" applyFont="1" applyFill="1" applyBorder="1" applyAlignment="1" applyProtection="1">
      <alignment vertical="top" wrapText="1"/>
      <protection/>
    </xf>
    <xf numFmtId="3" fontId="51" fillId="0" borderId="10" xfId="71" applyNumberFormat="1" applyFont="1" applyFill="1" applyBorder="1" applyAlignment="1" applyProtection="1">
      <alignment vertical="top" wrapText="1"/>
      <protection/>
    </xf>
    <xf numFmtId="0" fontId="30" fillId="0" borderId="0" xfId="71" applyFont="1" applyFill="1" applyAlignment="1" applyProtection="1">
      <alignment vertical="top"/>
      <protection/>
    </xf>
    <xf numFmtId="0" fontId="48" fillId="0" borderId="52" xfId="71" applyFont="1" applyFill="1" applyBorder="1" applyAlignment="1" applyProtection="1">
      <alignment horizontal="center"/>
      <protection/>
    </xf>
    <xf numFmtId="0" fontId="48" fillId="0" borderId="74" xfId="71" applyFont="1" applyFill="1" applyBorder="1" applyAlignment="1" applyProtection="1">
      <alignment horizontal="center"/>
      <protection/>
    </xf>
    <xf numFmtId="0" fontId="48" fillId="0" borderId="74" xfId="71" applyFont="1" applyFill="1" applyBorder="1" applyAlignment="1" applyProtection="1">
      <alignment horizontal="center" wrapText="1"/>
      <protection/>
    </xf>
    <xf numFmtId="0" fontId="48" fillId="0" borderId="74" xfId="71" applyFont="1" applyFill="1" applyBorder="1" applyAlignment="1" applyProtection="1">
      <alignment horizontal="left" wrapText="1"/>
      <protection/>
    </xf>
    <xf numFmtId="0" fontId="49" fillId="0" borderId="74" xfId="71" applyFont="1" applyFill="1" applyBorder="1" applyAlignment="1" applyProtection="1">
      <alignment horizontal="center" wrapText="1"/>
      <protection/>
    </xf>
    <xf numFmtId="3" fontId="48" fillId="0" borderId="74" xfId="71" applyNumberFormat="1" applyFont="1" applyFill="1" applyBorder="1" applyAlignment="1" applyProtection="1">
      <alignment horizontal="center" wrapText="1"/>
      <protection/>
    </xf>
    <xf numFmtId="3" fontId="48" fillId="0" borderId="75" xfId="71" applyNumberFormat="1" applyFont="1" applyFill="1" applyBorder="1" applyAlignment="1" applyProtection="1">
      <alignment horizontal="center" wrapText="1"/>
      <protection/>
    </xf>
    <xf numFmtId="3" fontId="50" fillId="0" borderId="23" xfId="71" applyNumberFormat="1" applyFont="1" applyFill="1" applyBorder="1" applyAlignment="1" applyProtection="1">
      <alignment vertical="center"/>
      <protection/>
    </xf>
    <xf numFmtId="3" fontId="45" fillId="0" borderId="23" xfId="71" applyNumberFormat="1" applyFont="1" applyFill="1" applyBorder="1" applyAlignment="1" applyProtection="1">
      <alignment vertical="center"/>
      <protection/>
    </xf>
    <xf numFmtId="3" fontId="53" fillId="0" borderId="10" xfId="71" applyNumberFormat="1" applyFont="1" applyFill="1" applyBorder="1" applyAlignment="1" applyProtection="1">
      <alignment vertical="center" wrapText="1"/>
      <protection/>
    </xf>
    <xf numFmtId="3" fontId="52" fillId="0" borderId="10" xfId="71" applyNumberFormat="1" applyFont="1" applyFill="1" applyBorder="1" applyAlignment="1" applyProtection="1">
      <alignment vertical="center" wrapText="1"/>
      <protection/>
    </xf>
    <xf numFmtId="0" fontId="32" fillId="0" borderId="0" xfId="71" applyFont="1" applyFill="1" applyAlignment="1" applyProtection="1">
      <alignment vertical="center"/>
      <protection/>
    </xf>
    <xf numFmtId="49" fontId="54" fillId="0" borderId="15" xfId="71" applyNumberFormat="1" applyFont="1" applyFill="1" applyBorder="1" applyAlignment="1" applyProtection="1">
      <alignment horizontal="left" vertical="center"/>
      <protection/>
    </xf>
    <xf numFmtId="49" fontId="54" fillId="0" borderId="46" xfId="71" applyNumberFormat="1" applyFont="1" applyFill="1" applyBorder="1" applyAlignment="1" applyProtection="1">
      <alignment horizontal="left" vertical="center"/>
      <protection/>
    </xf>
    <xf numFmtId="0" fontId="11" fillId="0" borderId="46" xfId="71" applyFont="1" applyFill="1" applyBorder="1" applyAlignment="1" applyProtection="1">
      <alignment vertical="center" wrapText="1"/>
      <protection/>
    </xf>
    <xf numFmtId="3" fontId="51" fillId="0" borderId="46" xfId="71" applyNumberFormat="1" applyFont="1" applyFill="1" applyBorder="1" applyAlignment="1" applyProtection="1">
      <alignment vertical="center" wrapText="1"/>
      <protection/>
    </xf>
    <xf numFmtId="3" fontId="51" fillId="0" borderId="13" xfId="71" applyNumberFormat="1" applyFont="1" applyFill="1" applyBorder="1" applyAlignment="1" applyProtection="1">
      <alignment vertical="center" wrapText="1"/>
      <protection/>
    </xf>
    <xf numFmtId="0" fontId="30" fillId="0" borderId="0" xfId="71" applyFont="1" applyFill="1" applyAlignment="1" applyProtection="1">
      <alignment vertical="center"/>
      <protection/>
    </xf>
    <xf numFmtId="3" fontId="24" fillId="0" borderId="10" xfId="71" applyNumberFormat="1" applyFont="1" applyFill="1" applyBorder="1" applyAlignment="1" applyProtection="1">
      <alignment vertical="center" wrapText="1"/>
      <protection/>
    </xf>
    <xf numFmtId="3" fontId="54" fillId="0" borderId="10" xfId="71" applyNumberFormat="1" applyFont="1" applyFill="1" applyBorder="1" applyAlignment="1" applyProtection="1">
      <alignment vertical="center" wrapText="1"/>
      <protection/>
    </xf>
    <xf numFmtId="0" fontId="51" fillId="0" borderId="13" xfId="71" applyFont="1" applyFill="1" applyBorder="1" applyAlignment="1" applyProtection="1">
      <alignment horizontal="left" vertical="center" wrapText="1"/>
      <protection/>
    </xf>
    <xf numFmtId="3" fontId="22" fillId="0" borderId="19" xfId="71" applyNumberFormat="1" applyFont="1" applyFill="1" applyBorder="1" applyAlignment="1" applyProtection="1">
      <alignment vertical="center" wrapText="1"/>
      <protection/>
    </xf>
    <xf numFmtId="3" fontId="51" fillId="0" borderId="19" xfId="71" applyNumberFormat="1" applyFont="1" applyFill="1" applyBorder="1" applyAlignment="1" applyProtection="1">
      <alignment vertical="center" wrapText="1"/>
      <protection/>
    </xf>
    <xf numFmtId="3" fontId="22" fillId="0" borderId="10" xfId="71" applyNumberFormat="1" applyFont="1" applyFill="1" applyBorder="1" applyAlignment="1" applyProtection="1">
      <alignment vertical="center" wrapText="1"/>
      <protection/>
    </xf>
    <xf numFmtId="3" fontId="51" fillId="0" borderId="10" xfId="71" applyNumberFormat="1" applyFont="1" applyFill="1" applyBorder="1" applyAlignment="1" applyProtection="1">
      <alignment vertical="center" wrapText="1"/>
      <protection/>
    </xf>
    <xf numFmtId="3" fontId="25" fillId="0" borderId="19" xfId="71" applyNumberFormat="1" applyFont="1" applyFill="1" applyBorder="1" applyAlignment="1" applyProtection="1">
      <alignment vertical="center" wrapText="1"/>
      <protection/>
    </xf>
    <xf numFmtId="3" fontId="55" fillId="0" borderId="19" xfId="71" applyNumberFormat="1" applyFont="1" applyFill="1" applyBorder="1" applyAlignment="1" applyProtection="1">
      <alignment vertical="center" wrapText="1"/>
      <protection/>
    </xf>
    <xf numFmtId="0" fontId="29" fillId="0" borderId="0" xfId="71" applyFont="1" applyFill="1" applyAlignment="1" applyProtection="1">
      <alignment vertical="center"/>
      <protection/>
    </xf>
    <xf numFmtId="3" fontId="55" fillId="0" borderId="10" xfId="71" applyNumberFormat="1" applyFont="1" applyFill="1" applyBorder="1" applyAlignment="1" applyProtection="1">
      <alignment vertical="center" wrapText="1"/>
      <protection/>
    </xf>
    <xf numFmtId="0" fontId="27" fillId="0" borderId="0" xfId="71" applyFont="1" applyFill="1" applyAlignment="1" applyProtection="1">
      <alignment vertical="top"/>
      <protection/>
    </xf>
    <xf numFmtId="3" fontId="57" fillId="0" borderId="10" xfId="71" applyNumberFormat="1" applyFont="1" applyFill="1" applyBorder="1" applyAlignment="1" applyProtection="1">
      <alignment vertical="center" wrapText="1"/>
      <protection/>
    </xf>
    <xf numFmtId="3" fontId="56" fillId="0" borderId="10" xfId="71" applyNumberFormat="1" applyFont="1" applyFill="1" applyBorder="1" applyAlignment="1" applyProtection="1">
      <alignment vertical="center" wrapText="1"/>
      <protection/>
    </xf>
    <xf numFmtId="0" fontId="31" fillId="0" borderId="0" xfId="71" applyFont="1" applyFill="1" applyAlignment="1" applyProtection="1">
      <alignment vertical="center"/>
      <protection/>
    </xf>
    <xf numFmtId="49" fontId="54" fillId="0" borderId="59" xfId="71" applyNumberFormat="1" applyFont="1" applyFill="1" applyBorder="1" applyAlignment="1" applyProtection="1">
      <alignment horizontal="left" vertical="center"/>
      <protection/>
    </xf>
    <xf numFmtId="49" fontId="54" fillId="0" borderId="18" xfId="71" applyNumberFormat="1" applyFont="1" applyFill="1" applyBorder="1" applyAlignment="1" applyProtection="1">
      <alignment horizontal="left" vertical="center"/>
      <protection/>
    </xf>
    <xf numFmtId="0" fontId="51" fillId="0" borderId="19" xfId="71" applyFont="1" applyFill="1" applyBorder="1" applyAlignment="1" applyProtection="1">
      <alignment horizontal="center" vertical="center" wrapText="1"/>
      <protection/>
    </xf>
    <xf numFmtId="0" fontId="51" fillId="0" borderId="15" xfId="71" applyFont="1" applyFill="1" applyBorder="1" applyAlignment="1" applyProtection="1">
      <alignment vertical="center" wrapText="1"/>
      <protection/>
    </xf>
    <xf numFmtId="0" fontId="51" fillId="0" borderId="41" xfId="71" applyFont="1" applyFill="1" applyBorder="1" applyAlignment="1" applyProtection="1">
      <alignment horizontal="center" vertical="top" wrapText="1"/>
      <protection/>
    </xf>
    <xf numFmtId="0" fontId="51" fillId="0" borderId="15" xfId="71" applyFont="1" applyFill="1" applyBorder="1" applyAlignment="1" applyProtection="1">
      <alignment vertical="top" wrapText="1"/>
      <protection/>
    </xf>
    <xf numFmtId="3" fontId="22" fillId="0" borderId="19" xfId="71" applyNumberFormat="1" applyFont="1" applyFill="1" applyBorder="1" applyAlignment="1" applyProtection="1">
      <alignment vertical="top" wrapText="1"/>
      <protection/>
    </xf>
    <xf numFmtId="3" fontId="51" fillId="0" borderId="19" xfId="71" applyNumberFormat="1" applyFont="1" applyFill="1" applyBorder="1" applyAlignment="1" applyProtection="1">
      <alignment vertical="top" wrapText="1"/>
      <protection/>
    </xf>
    <xf numFmtId="0" fontId="51" fillId="0" borderId="10" xfId="71" applyFont="1" applyFill="1" applyBorder="1" applyAlignment="1" applyProtection="1">
      <alignment horizontal="center" vertical="center" wrapText="1"/>
      <protection/>
    </xf>
    <xf numFmtId="0" fontId="51" fillId="0" borderId="19" xfId="71" applyFont="1" applyFill="1" applyBorder="1" applyAlignment="1" applyProtection="1">
      <alignment horizontal="center" vertical="top" wrapText="1"/>
      <protection/>
    </xf>
    <xf numFmtId="0" fontId="51" fillId="0" borderId="29" xfId="71" applyFont="1" applyFill="1" applyBorder="1" applyAlignment="1" applyProtection="1">
      <alignment horizontal="center" vertical="top" wrapText="1"/>
      <protection/>
    </xf>
    <xf numFmtId="0" fontId="51" fillId="0" borderId="29" xfId="71" applyFont="1" applyFill="1" applyBorder="1" applyAlignment="1" applyProtection="1">
      <alignment horizontal="center" vertical="center" wrapText="1"/>
      <protection/>
    </xf>
    <xf numFmtId="0" fontId="51" fillId="0" borderId="41" xfId="71" applyFont="1" applyFill="1" applyBorder="1" applyAlignment="1" applyProtection="1">
      <alignment horizontal="center" vertical="center" wrapText="1"/>
      <protection/>
    </xf>
    <xf numFmtId="0" fontId="51" fillId="0" borderId="10" xfId="71" applyFont="1" applyFill="1" applyBorder="1" applyAlignment="1" applyProtection="1">
      <alignment horizontal="center" vertical="top" wrapText="1"/>
      <protection/>
    </xf>
    <xf numFmtId="49" fontId="54" fillId="0" borderId="52" xfId="71" applyNumberFormat="1" applyFont="1" applyFill="1" applyBorder="1" applyAlignment="1" applyProtection="1">
      <alignment horizontal="left" vertical="center"/>
      <protection/>
    </xf>
    <xf numFmtId="49" fontId="54" fillId="0" borderId="74" xfId="71" applyNumberFormat="1" applyFont="1" applyFill="1" applyBorder="1" applyAlignment="1" applyProtection="1">
      <alignment horizontal="left" vertical="center"/>
      <protection/>
    </xf>
    <xf numFmtId="0" fontId="11" fillId="0" borderId="74" xfId="71" applyFont="1" applyFill="1" applyBorder="1" applyAlignment="1" applyProtection="1">
      <alignment vertical="center" wrapText="1"/>
      <protection/>
    </xf>
    <xf numFmtId="3" fontId="51" fillId="0" borderId="74" xfId="71" applyNumberFormat="1" applyFont="1" applyFill="1" applyBorder="1" applyAlignment="1" applyProtection="1">
      <alignment vertical="center" wrapText="1"/>
      <protection/>
    </xf>
    <xf numFmtId="3" fontId="51" fillId="0" borderId="75" xfId="71" applyNumberFormat="1" applyFont="1" applyFill="1" applyBorder="1" applyAlignment="1" applyProtection="1">
      <alignment vertical="center" wrapText="1"/>
      <protection/>
    </xf>
    <xf numFmtId="0" fontId="45" fillId="0" borderId="0" xfId="71" applyFont="1" applyFill="1" applyAlignment="1" applyProtection="1">
      <alignment horizontal="center" vertical="center"/>
      <protection/>
    </xf>
    <xf numFmtId="0" fontId="27" fillId="0" borderId="0" xfId="71" applyFont="1" applyFill="1" applyBorder="1" applyAlignment="1" applyProtection="1">
      <alignment horizontal="center" vertical="center"/>
      <protection/>
    </xf>
    <xf numFmtId="0" fontId="27" fillId="0" borderId="0" xfId="71" applyFont="1" applyFill="1" applyBorder="1" applyAlignment="1" applyProtection="1">
      <alignment horizontal="center" vertical="center" wrapText="1"/>
      <protection/>
    </xf>
    <xf numFmtId="0" fontId="27" fillId="0" borderId="0" xfId="71" applyFont="1" applyFill="1" applyBorder="1" applyAlignment="1" applyProtection="1">
      <alignment vertical="center" wrapText="1"/>
      <protection/>
    </xf>
    <xf numFmtId="0" fontId="47" fillId="0" borderId="0" xfId="71" applyFont="1" applyFill="1" applyBorder="1" applyAlignment="1" applyProtection="1">
      <alignment vertical="center" wrapText="1"/>
      <protection/>
    </xf>
    <xf numFmtId="3" fontId="27" fillId="0" borderId="0" xfId="71" applyNumberFormat="1" applyFont="1" applyFill="1" applyBorder="1" applyAlignment="1" applyProtection="1">
      <alignment vertical="center" wrapText="1"/>
      <protection/>
    </xf>
    <xf numFmtId="0" fontId="58" fillId="0" borderId="0" xfId="71" applyFont="1" applyFill="1" applyAlignment="1" applyProtection="1">
      <alignment horizontal="left"/>
      <protection/>
    </xf>
    <xf numFmtId="0" fontId="58" fillId="0" borderId="0" xfId="71" applyFont="1" applyFill="1" applyAlignment="1" applyProtection="1">
      <alignment horizontal="center"/>
      <protection/>
    </xf>
    <xf numFmtId="0" fontId="59" fillId="0" borderId="0" xfId="71" applyFont="1" applyFill="1" applyAlignment="1" applyProtection="1">
      <alignment wrapText="1"/>
      <protection/>
    </xf>
    <xf numFmtId="0" fontId="27" fillId="0" borderId="0" xfId="71" applyFont="1" applyFill="1" applyAlignment="1" applyProtection="1">
      <alignment wrapText="1"/>
      <protection/>
    </xf>
    <xf numFmtId="0" fontId="47" fillId="0" borderId="0" xfId="71" applyFont="1" applyFill="1" applyAlignment="1" applyProtection="1">
      <alignment wrapText="1"/>
      <protection/>
    </xf>
    <xf numFmtId="3" fontId="27" fillId="0" borderId="0" xfId="71" applyNumberFormat="1" applyFont="1" applyFill="1" applyAlignment="1" applyProtection="1">
      <alignment wrapText="1"/>
      <protection/>
    </xf>
    <xf numFmtId="0" fontId="27" fillId="0" borderId="0" xfId="71" applyFont="1" applyFill="1" applyProtection="1">
      <alignment/>
      <protection/>
    </xf>
    <xf numFmtId="0" fontId="59" fillId="0" borderId="0" xfId="71" applyFont="1" applyFill="1" applyAlignment="1" applyProtection="1">
      <alignment horizontal="left" vertical="center"/>
      <protection/>
    </xf>
    <xf numFmtId="0" fontId="59" fillId="0" borderId="0" xfId="71" applyFont="1" applyFill="1" applyAlignment="1" applyProtection="1">
      <alignment horizontal="center" vertical="center"/>
      <protection/>
    </xf>
    <xf numFmtId="0" fontId="59" fillId="0" borderId="0" xfId="71" applyFont="1" applyFill="1" applyAlignment="1" applyProtection="1">
      <alignment vertical="center" wrapText="1"/>
      <protection/>
    </xf>
    <xf numFmtId="0" fontId="27" fillId="0" borderId="0" xfId="71" applyFont="1" applyFill="1" applyAlignment="1" applyProtection="1">
      <alignment horizontal="center"/>
      <protection/>
    </xf>
    <xf numFmtId="0" fontId="27" fillId="0" borderId="0" xfId="71" applyFont="1" applyFill="1" applyAlignment="1" applyProtection="1">
      <alignment horizontal="center" wrapText="1"/>
      <protection/>
    </xf>
    <xf numFmtId="0" fontId="22" fillId="0" borderId="0" xfId="0" applyFont="1" applyFill="1" applyAlignment="1" applyProtection="1">
      <alignment horizontal="center"/>
      <protection/>
    </xf>
    <xf numFmtId="3" fontId="22" fillId="0" borderId="0" xfId="0" applyNumberFormat="1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3" fontId="22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3" fontId="24" fillId="0" borderId="11" xfId="0" applyNumberFormat="1" applyFont="1" applyFill="1" applyBorder="1" applyAlignment="1" applyProtection="1">
      <alignment horizontal="center" vertical="center" wrapText="1"/>
      <protection/>
    </xf>
    <xf numFmtId="3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25" fillId="0" borderId="76" xfId="0" applyFont="1" applyFill="1" applyBorder="1" applyAlignment="1" applyProtection="1">
      <alignment horizontal="center"/>
      <protection/>
    </xf>
    <xf numFmtId="0" fontId="25" fillId="0" borderId="50" xfId="0" applyFont="1" applyFill="1" applyBorder="1" applyAlignment="1" applyProtection="1">
      <alignment horizontal="center"/>
      <protection/>
    </xf>
    <xf numFmtId="0" fontId="25" fillId="0" borderId="49" xfId="0" applyFont="1" applyFill="1" applyBorder="1" applyAlignment="1" applyProtection="1">
      <alignment horizontal="center"/>
      <protection/>
    </xf>
    <xf numFmtId="3" fontId="25" fillId="0" borderId="49" xfId="0" applyNumberFormat="1" applyFont="1" applyFill="1" applyBorder="1" applyAlignment="1" applyProtection="1">
      <alignment horizontal="center"/>
      <protection/>
    </xf>
    <xf numFmtId="0" fontId="24" fillId="0" borderId="49" xfId="0" applyFont="1" applyFill="1" applyBorder="1" applyAlignment="1" applyProtection="1">
      <alignment vertical="center" wrapText="1"/>
      <protection/>
    </xf>
    <xf numFmtId="3" fontId="25" fillId="0" borderId="51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22" fillId="0" borderId="29" xfId="0" applyFont="1" applyFill="1" applyBorder="1" applyAlignment="1" applyProtection="1">
      <alignment horizontal="center"/>
      <protection/>
    </xf>
    <xf numFmtId="0" fontId="22" fillId="0" borderId="30" xfId="0" applyFont="1" applyFill="1" applyBorder="1" applyAlignment="1" applyProtection="1">
      <alignment horizontal="center"/>
      <protection/>
    </xf>
    <xf numFmtId="0" fontId="22" fillId="0" borderId="29" xfId="0" applyFont="1" applyFill="1" applyBorder="1" applyAlignment="1" applyProtection="1">
      <alignment wrapText="1"/>
      <protection/>
    </xf>
    <xf numFmtId="3" fontId="22" fillId="0" borderId="29" xfId="0" applyNumberFormat="1" applyFont="1" applyFill="1" applyBorder="1" applyAlignment="1" applyProtection="1">
      <alignment/>
      <protection/>
    </xf>
    <xf numFmtId="0" fontId="24" fillId="0" borderId="29" xfId="0" applyFont="1" applyFill="1" applyBorder="1" applyAlignment="1" applyProtection="1">
      <alignment vertical="center" wrapText="1"/>
      <protection/>
    </xf>
    <xf numFmtId="0" fontId="26" fillId="0" borderId="53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left" vertical="center" wrapText="1"/>
      <protection/>
    </xf>
    <xf numFmtId="3" fontId="26" fillId="0" borderId="23" xfId="0" applyNumberFormat="1" applyFont="1" applyFill="1" applyBorder="1" applyAlignment="1" applyProtection="1">
      <alignment vertical="center"/>
      <protection/>
    </xf>
    <xf numFmtId="0" fontId="24" fillId="0" borderId="23" xfId="0" applyFont="1" applyFill="1" applyBorder="1" applyAlignment="1" applyProtection="1">
      <alignment vertical="center" wrapText="1"/>
      <protection/>
    </xf>
    <xf numFmtId="3" fontId="26" fillId="0" borderId="26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49" fontId="22" fillId="0" borderId="29" xfId="0" applyNumberFormat="1" applyFont="1" applyFill="1" applyBorder="1" applyAlignment="1" applyProtection="1">
      <alignment horizontal="center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22" fillId="0" borderId="41" xfId="0" applyFont="1" applyFill="1" applyBorder="1" applyAlignment="1" applyProtection="1">
      <alignment horizontal="center"/>
      <protection/>
    </xf>
    <xf numFmtId="49" fontId="22" fillId="0" borderId="41" xfId="0" applyNumberFormat="1" applyFont="1" applyFill="1" applyBorder="1" applyAlignment="1" applyProtection="1">
      <alignment horizontal="center"/>
      <protection/>
    </xf>
    <xf numFmtId="0" fontId="22" fillId="0" borderId="41" xfId="0" applyFont="1" applyFill="1" applyBorder="1" applyAlignment="1" applyProtection="1">
      <alignment wrapText="1"/>
      <protection/>
    </xf>
    <xf numFmtId="3" fontId="22" fillId="0" borderId="41" xfId="0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 horizontal="center"/>
      <protection/>
    </xf>
    <xf numFmtId="49" fontId="24" fillId="0" borderId="10" xfId="0" applyNumberFormat="1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horizontal="left" wrapText="1"/>
      <protection/>
    </xf>
    <xf numFmtId="3" fontId="24" fillId="0" borderId="10" xfId="0" applyNumberFormat="1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>
      <alignment horizontal="center"/>
      <protection/>
    </xf>
    <xf numFmtId="49" fontId="22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wrapText="1"/>
      <protection/>
    </xf>
    <xf numFmtId="3" fontId="22" fillId="0" borderId="10" xfId="0" applyNumberFormat="1" applyFont="1" applyFill="1" applyBorder="1" applyAlignment="1" applyProtection="1">
      <alignment/>
      <protection/>
    </xf>
    <xf numFmtId="0" fontId="53" fillId="0" borderId="10" xfId="0" applyFont="1" applyFill="1" applyBorder="1" applyAlignment="1" applyProtection="1">
      <alignment horizontal="center"/>
      <protection/>
    </xf>
    <xf numFmtId="49" fontId="53" fillId="0" borderId="10" xfId="0" applyNumberFormat="1" applyFont="1" applyFill="1" applyBorder="1" applyAlignment="1" applyProtection="1">
      <alignment horizontal="left" wrapText="1"/>
      <protection/>
    </xf>
    <xf numFmtId="3" fontId="53" fillId="0" borderId="10" xfId="0" applyNumberFormat="1" applyFont="1" applyFill="1" applyBorder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>
      <alignment horizontal="left" wrapText="1"/>
      <protection/>
    </xf>
    <xf numFmtId="0" fontId="22" fillId="0" borderId="19" xfId="0" applyFont="1" applyFill="1" applyBorder="1" applyAlignment="1" applyProtection="1">
      <alignment horizontal="center"/>
      <protection/>
    </xf>
    <xf numFmtId="0" fontId="22" fillId="0" borderId="19" xfId="0" applyFont="1" applyFill="1" applyBorder="1" applyAlignment="1" applyProtection="1">
      <alignment horizontal="left" wrapText="1"/>
      <protection/>
    </xf>
    <xf numFmtId="3" fontId="22" fillId="0" borderId="19" xfId="0" applyNumberFormat="1" applyFont="1" applyFill="1" applyBorder="1" applyAlignment="1" applyProtection="1">
      <alignment/>
      <protection/>
    </xf>
    <xf numFmtId="3" fontId="22" fillId="0" borderId="19" xfId="0" applyNumberFormat="1" applyFont="1" applyFill="1" applyBorder="1" applyAlignment="1" applyProtection="1">
      <alignment/>
      <protection/>
    </xf>
    <xf numFmtId="3" fontId="22" fillId="0" borderId="41" xfId="0" applyNumberFormat="1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49" fontId="53" fillId="0" borderId="10" xfId="0" applyNumberFormat="1" applyFont="1" applyFill="1" applyBorder="1" applyAlignment="1" applyProtection="1">
      <alignment horizontal="left" vertical="center" wrapText="1"/>
      <protection/>
    </xf>
    <xf numFmtId="3" fontId="53" fillId="0" borderId="10" xfId="0" applyNumberFormat="1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wrapText="1"/>
      <protection/>
    </xf>
    <xf numFmtId="3" fontId="24" fillId="0" borderId="10" xfId="0" applyNumberFormat="1" applyFont="1" applyFill="1" applyBorder="1" applyAlignment="1" applyProtection="1">
      <alignment horizontal="center"/>
      <protection/>
    </xf>
    <xf numFmtId="49" fontId="53" fillId="0" borderId="10" xfId="0" applyNumberFormat="1" applyFont="1" applyFill="1" applyBorder="1" applyAlignment="1" applyProtection="1">
      <alignment wrapText="1"/>
      <protection/>
    </xf>
    <xf numFmtId="0" fontId="22" fillId="0" borderId="10" xfId="0" applyFont="1" applyFill="1" applyBorder="1" applyAlignment="1" applyProtection="1">
      <alignment horizontal="center" wrapText="1"/>
      <protection/>
    </xf>
    <xf numFmtId="49" fontId="22" fillId="0" borderId="19" xfId="0" applyNumberFormat="1" applyFont="1" applyFill="1" applyBorder="1" applyAlignment="1" applyProtection="1">
      <alignment horizontal="center"/>
      <protection/>
    </xf>
    <xf numFmtId="0" fontId="22" fillId="0" borderId="19" xfId="0" applyFont="1" applyFill="1" applyBorder="1" applyAlignment="1" applyProtection="1">
      <alignment wrapText="1"/>
      <protection/>
    </xf>
    <xf numFmtId="3" fontId="22" fillId="0" borderId="19" xfId="0" applyNumberFormat="1" applyFont="1" applyFill="1" applyBorder="1" applyAlignment="1" applyProtection="1">
      <alignment horizontal="center"/>
      <protection/>
    </xf>
    <xf numFmtId="0" fontId="24" fillId="0" borderId="41" xfId="0" applyFont="1" applyFill="1" applyBorder="1" applyAlignment="1" applyProtection="1">
      <alignment horizontal="center"/>
      <protection/>
    </xf>
    <xf numFmtId="3" fontId="22" fillId="0" borderId="10" xfId="0" applyNumberFormat="1" applyFont="1" applyFill="1" applyBorder="1" applyAlignment="1" applyProtection="1">
      <alignment/>
      <protection/>
    </xf>
    <xf numFmtId="0" fontId="24" fillId="0" borderId="41" xfId="0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 applyProtection="1">
      <alignment horizontal="center"/>
      <protection/>
    </xf>
    <xf numFmtId="49" fontId="22" fillId="0" borderId="11" xfId="0" applyNumberFormat="1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 wrapText="1"/>
      <protection/>
    </xf>
    <xf numFmtId="3" fontId="22" fillId="0" borderId="11" xfId="0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 applyProtection="1">
      <alignment vertical="center" wrapText="1"/>
      <protection/>
    </xf>
    <xf numFmtId="3" fontId="22" fillId="0" borderId="11" xfId="0" applyNumberFormat="1" applyFont="1" applyFill="1" applyBorder="1" applyAlignment="1" applyProtection="1">
      <alignment/>
      <protection/>
    </xf>
    <xf numFmtId="0" fontId="24" fillId="0" borderId="19" xfId="0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 horizontal="left" wrapText="1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49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left" vertical="center" wrapText="1"/>
      <protection/>
    </xf>
    <xf numFmtId="3" fontId="7" fillId="0" borderId="41" xfId="0" applyNumberFormat="1" applyFont="1" applyFill="1" applyBorder="1" applyAlignment="1" applyProtection="1">
      <alignment vertical="center"/>
      <protection/>
    </xf>
    <xf numFmtId="49" fontId="24" fillId="0" borderId="1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2" fillId="0" borderId="41" xfId="0" applyFont="1" applyFill="1" applyBorder="1" applyAlignment="1" applyProtection="1">
      <alignment/>
      <protection/>
    </xf>
    <xf numFmtId="3" fontId="22" fillId="0" borderId="41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wrapText="1"/>
      <protection/>
    </xf>
    <xf numFmtId="3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wrapText="1"/>
      <protection/>
    </xf>
    <xf numFmtId="0" fontId="45" fillId="0" borderId="0" xfId="0" applyFont="1" applyFill="1" applyBorder="1" applyAlignment="1" applyProtection="1">
      <alignment horizontal="center" vertical="top" wrapText="1"/>
      <protection/>
    </xf>
    <xf numFmtId="3" fontId="29" fillId="0" borderId="0" xfId="0" applyNumberFormat="1" applyFont="1" applyFill="1" applyBorder="1" applyAlignment="1" applyProtection="1">
      <alignment horizontal="left" wrapText="1"/>
      <protection/>
    </xf>
    <xf numFmtId="3" fontId="29" fillId="0" borderId="0" xfId="0" applyNumberFormat="1" applyFont="1" applyFill="1" applyBorder="1" applyAlignment="1" applyProtection="1">
      <alignment horizontal="center" wrapText="1"/>
      <protection/>
    </xf>
    <xf numFmtId="3" fontId="29" fillId="0" borderId="0" xfId="0" applyNumberFormat="1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center" vertical="top" wrapText="1"/>
      <protection/>
    </xf>
    <xf numFmtId="3" fontId="33" fillId="0" borderId="0" xfId="0" applyNumberFormat="1" applyFont="1" applyFill="1" applyBorder="1" applyAlignment="1" applyProtection="1">
      <alignment horizontal="left" wrapText="1"/>
      <protection/>
    </xf>
    <xf numFmtId="3" fontId="33" fillId="0" borderId="0" xfId="0" applyNumberFormat="1" applyFont="1" applyFill="1" applyBorder="1" applyAlignment="1" applyProtection="1">
      <alignment horizontal="center" wrapText="1"/>
      <protection/>
    </xf>
    <xf numFmtId="3" fontId="33" fillId="0" borderId="0" xfId="0" applyNumberFormat="1" applyFont="1" applyFill="1" applyBorder="1" applyAlignment="1" applyProtection="1">
      <alignment horizontal="right"/>
      <protection/>
    </xf>
    <xf numFmtId="0" fontId="33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4" fontId="29" fillId="0" borderId="0" xfId="0" applyNumberFormat="1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28" fillId="0" borderId="53" xfId="0" applyFont="1" applyFill="1" applyBorder="1" applyAlignment="1" applyProtection="1">
      <alignment horizontal="center" vertical="center" wrapText="1"/>
      <protection/>
    </xf>
    <xf numFmtId="3" fontId="28" fillId="0" borderId="23" xfId="0" applyNumberFormat="1" applyFont="1" applyFill="1" applyBorder="1" applyAlignment="1" applyProtection="1">
      <alignment horizontal="right" vertical="center" wrapText="1"/>
      <protection/>
    </xf>
    <xf numFmtId="3" fontId="28" fillId="0" borderId="26" xfId="0" applyNumberFormat="1" applyFont="1" applyFill="1" applyBorder="1" applyAlignment="1" applyProtection="1">
      <alignment horizontal="right" vertical="center" wrapText="1"/>
      <protection/>
    </xf>
    <xf numFmtId="3" fontId="28" fillId="0" borderId="0" xfId="0" applyNumberFormat="1" applyFont="1" applyFill="1" applyBorder="1" applyAlignment="1" applyProtection="1">
      <alignment horizontal="right" vertical="center" wrapText="1"/>
      <protection/>
    </xf>
    <xf numFmtId="3" fontId="32" fillId="0" borderId="0" xfId="0" applyNumberFormat="1" applyFont="1" applyFill="1" applyBorder="1" applyAlignment="1" applyProtection="1">
      <alignment horizontal="left" wrapText="1"/>
      <protection/>
    </xf>
    <xf numFmtId="3" fontId="32" fillId="0" borderId="0" xfId="0" applyNumberFormat="1" applyFont="1" applyFill="1" applyBorder="1" applyAlignment="1" applyProtection="1">
      <alignment horizontal="center" wrapText="1"/>
      <protection/>
    </xf>
    <xf numFmtId="3" fontId="32" fillId="0" borderId="0" xfId="0" applyNumberFormat="1" applyFont="1" applyFill="1" applyBorder="1" applyAlignment="1" applyProtection="1">
      <alignment horizontal="right"/>
      <protection/>
    </xf>
    <xf numFmtId="4" fontId="32" fillId="0" borderId="0" xfId="0" applyNumberFormat="1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28" fillId="0" borderId="29" xfId="0" applyFont="1" applyFill="1" applyBorder="1" applyAlignment="1" applyProtection="1">
      <alignment horizontal="center" vertical="center" wrapText="1"/>
      <protection/>
    </xf>
    <xf numFmtId="49" fontId="28" fillId="0" borderId="29" xfId="0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3" fontId="28" fillId="0" borderId="29" xfId="0" applyNumberFormat="1" applyFont="1" applyFill="1" applyBorder="1" applyAlignment="1" applyProtection="1">
      <alignment horizontal="right" vertical="center" wrapText="1"/>
      <protection/>
    </xf>
    <xf numFmtId="49" fontId="28" fillId="0" borderId="53" xfId="0" applyNumberFormat="1" applyFont="1" applyFill="1" applyBorder="1" applyAlignment="1" applyProtection="1">
      <alignment horizontal="center" vertical="center" wrapText="1"/>
      <protection/>
    </xf>
    <xf numFmtId="49" fontId="28" fillId="0" borderId="23" xfId="0" applyNumberFormat="1" applyFont="1" applyFill="1" applyBorder="1" applyAlignment="1" applyProtection="1">
      <alignment horizontal="center" vertical="center" wrapText="1"/>
      <protection/>
    </xf>
    <xf numFmtId="49" fontId="28" fillId="0" borderId="41" xfId="0" applyNumberFormat="1" applyFont="1" applyFill="1" applyBorder="1" applyAlignment="1" applyProtection="1">
      <alignment horizontal="center" vertical="center" wrapText="1"/>
      <protection/>
    </xf>
    <xf numFmtId="0" fontId="28" fillId="0" borderId="41" xfId="0" applyFont="1" applyFill="1" applyBorder="1" applyAlignment="1" applyProtection="1">
      <alignment horizontal="left" vertical="center" wrapText="1"/>
      <protection/>
    </xf>
    <xf numFmtId="3" fontId="28" fillId="0" borderId="41" xfId="0" applyNumberFormat="1" applyFont="1" applyFill="1" applyBorder="1" applyAlignment="1" applyProtection="1">
      <alignment horizontal="right" vertical="center" wrapText="1"/>
      <protection/>
    </xf>
    <xf numFmtId="49" fontId="32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Font="1" applyFill="1" applyBorder="1" applyAlignment="1" applyProtection="1">
      <alignment horizontal="left" vertical="center" wrapText="1"/>
      <protection/>
    </xf>
    <xf numFmtId="3" fontId="32" fillId="0" borderId="10" xfId="0" applyNumberFormat="1" applyFont="1" applyFill="1" applyBorder="1" applyAlignment="1" applyProtection="1">
      <alignment horizontal="right" vertical="center" wrapText="1"/>
      <protection/>
    </xf>
    <xf numFmtId="3" fontId="32" fillId="0" borderId="0" xfId="0" applyNumberFormat="1" applyFont="1" applyFill="1" applyBorder="1" applyAlignment="1" applyProtection="1">
      <alignment horizontal="right" vertical="center" wrapText="1"/>
      <protection/>
    </xf>
    <xf numFmtId="49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left"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49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left" vertical="center" wrapText="1"/>
      <protection/>
    </xf>
    <xf numFmtId="3" fontId="27" fillId="0" borderId="10" xfId="0" applyNumberFormat="1" applyFont="1" applyFill="1" applyBorder="1" applyAlignment="1" applyProtection="1">
      <alignment horizontal="right" vertical="center" wrapText="1"/>
      <protection/>
    </xf>
    <xf numFmtId="3" fontId="27" fillId="0" borderId="0" xfId="0" applyNumberFormat="1" applyFont="1" applyFill="1" applyBorder="1" applyAlignment="1" applyProtection="1">
      <alignment horizontal="right" vertical="center" wrapText="1"/>
      <protection/>
    </xf>
    <xf numFmtId="3" fontId="27" fillId="0" borderId="19" xfId="0" applyNumberFormat="1" applyFont="1" applyFill="1" applyBorder="1" applyAlignment="1" applyProtection="1">
      <alignment horizontal="right" vertical="center" wrapText="1"/>
      <protection/>
    </xf>
    <xf numFmtId="49" fontId="27" fillId="0" borderId="34" xfId="0" applyNumberFormat="1" applyFont="1" applyFill="1" applyBorder="1" applyAlignment="1" applyProtection="1">
      <alignment horizontal="center" vertical="center" wrapText="1"/>
      <protection/>
    </xf>
    <xf numFmtId="49" fontId="27" fillId="0" borderId="29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Fill="1" applyBorder="1" applyAlignment="1" applyProtection="1">
      <alignment horizontal="left" vertical="center" wrapText="1"/>
      <protection/>
    </xf>
    <xf numFmtId="3" fontId="27" fillId="0" borderId="29" xfId="0" applyNumberFormat="1" applyFont="1" applyFill="1" applyBorder="1" applyAlignment="1" applyProtection="1">
      <alignment horizontal="right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49" fontId="27" fillId="0" borderId="4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71" applyFont="1" applyAlignment="1" applyProtection="1">
      <alignment horizontal="center"/>
      <protection/>
    </xf>
    <xf numFmtId="3" fontId="27" fillId="0" borderId="0" xfId="71" applyNumberFormat="1" applyFont="1" applyAlignment="1" applyProtection="1">
      <alignment horizontal="left" wrapText="1"/>
      <protection/>
    </xf>
    <xf numFmtId="0" fontId="27" fillId="0" borderId="0" xfId="71" applyFont="1" applyAlignment="1" applyProtection="1">
      <alignment wrapText="1"/>
      <protection/>
    </xf>
    <xf numFmtId="0" fontId="27" fillId="0" borderId="0" xfId="71" applyFont="1" applyProtection="1">
      <alignment/>
      <protection/>
    </xf>
    <xf numFmtId="3" fontId="27" fillId="0" borderId="0" xfId="71" applyNumberFormat="1" applyFont="1" applyAlignment="1" applyProtection="1">
      <alignment horizontal="center" wrapText="1"/>
      <protection/>
    </xf>
    <xf numFmtId="0" fontId="28" fillId="0" borderId="19" xfId="71" applyFont="1" applyBorder="1" applyAlignment="1" applyProtection="1">
      <alignment horizontal="center" vertical="top" wrapText="1"/>
      <protection/>
    </xf>
    <xf numFmtId="0" fontId="28" fillId="0" borderId="0" xfId="71" applyFont="1" applyAlignment="1" applyProtection="1">
      <alignment vertical="center" wrapText="1"/>
      <protection/>
    </xf>
    <xf numFmtId="0" fontId="28" fillId="0" borderId="0" xfId="71" applyFont="1" applyAlignment="1" applyProtection="1">
      <alignment vertical="center"/>
      <protection/>
    </xf>
    <xf numFmtId="0" fontId="48" fillId="0" borderId="10" xfId="71" applyFont="1" applyBorder="1" applyAlignment="1" applyProtection="1">
      <alignment horizontal="center"/>
      <protection/>
    </xf>
    <xf numFmtId="0" fontId="48" fillId="0" borderId="10" xfId="71" applyFont="1" applyBorder="1" applyAlignment="1" applyProtection="1">
      <alignment horizontal="center" wrapText="1"/>
      <protection/>
    </xf>
    <xf numFmtId="3" fontId="48" fillId="0" borderId="10" xfId="71" applyNumberFormat="1" applyFont="1" applyBorder="1" applyAlignment="1" applyProtection="1">
      <alignment horizontal="center" wrapText="1"/>
      <protection/>
    </xf>
    <xf numFmtId="0" fontId="48" fillId="0" borderId="0" xfId="71" applyFont="1" applyAlignment="1" applyProtection="1">
      <alignment horizontal="center" wrapText="1"/>
      <protection/>
    </xf>
    <xf numFmtId="0" fontId="48" fillId="0" borderId="0" xfId="71" applyFont="1" applyAlignment="1" applyProtection="1">
      <alignment horizontal="center"/>
      <protection/>
    </xf>
    <xf numFmtId="3" fontId="39" fillId="0" borderId="10" xfId="71" applyNumberFormat="1" applyFont="1" applyBorder="1" applyAlignment="1" applyProtection="1">
      <alignment horizontal="right" vertical="center" wrapText="1"/>
      <protection/>
    </xf>
    <xf numFmtId="0" fontId="39" fillId="0" borderId="0" xfId="71" applyFont="1" applyAlignment="1" applyProtection="1">
      <alignment horizontal="center" vertical="center"/>
      <protection/>
    </xf>
    <xf numFmtId="49" fontId="27" fillId="0" borderId="19" xfId="71" applyNumberFormat="1" applyFont="1" applyBorder="1" applyAlignment="1" applyProtection="1">
      <alignment horizontal="center" vertical="top"/>
      <protection/>
    </xf>
    <xf numFmtId="0" fontId="27" fillId="0" borderId="10" xfId="71" applyFont="1" applyBorder="1" applyAlignment="1" applyProtection="1">
      <alignment vertical="top" wrapText="1"/>
      <protection/>
    </xf>
    <xf numFmtId="0" fontId="27" fillId="0" borderId="10" xfId="71" applyFont="1" applyBorder="1" applyAlignment="1" applyProtection="1">
      <alignment horizontal="justify" vertical="top" wrapText="1"/>
      <protection/>
    </xf>
    <xf numFmtId="3" fontId="27" fillId="0" borderId="10" xfId="71" applyNumberFormat="1" applyFont="1" applyBorder="1" applyAlignment="1" applyProtection="1">
      <alignment horizontal="right" vertical="top"/>
      <protection/>
    </xf>
    <xf numFmtId="3" fontId="27" fillId="0" borderId="10" xfId="71" applyNumberFormat="1" applyFont="1" applyBorder="1" applyAlignment="1" applyProtection="1">
      <alignment vertical="top" wrapText="1"/>
      <protection/>
    </xf>
    <xf numFmtId="0" fontId="27" fillId="0" borderId="0" xfId="71" applyFont="1" applyAlignment="1" applyProtection="1">
      <alignment vertical="top" wrapText="1"/>
      <protection/>
    </xf>
    <xf numFmtId="0" fontId="27" fillId="0" borderId="0" xfId="71" applyFont="1" applyAlignment="1" applyProtection="1">
      <alignment vertical="top"/>
      <protection/>
    </xf>
    <xf numFmtId="49" fontId="27" fillId="0" borderId="29" xfId="71" applyNumberFormat="1" applyFont="1" applyBorder="1" applyAlignment="1" applyProtection="1">
      <alignment horizontal="center" vertical="top"/>
      <protection/>
    </xf>
    <xf numFmtId="49" fontId="27" fillId="0" borderId="41" xfId="71" applyNumberFormat="1" applyFont="1" applyBorder="1" applyAlignment="1" applyProtection="1">
      <alignment horizontal="center" vertical="top"/>
      <protection/>
    </xf>
    <xf numFmtId="49" fontId="27" fillId="0" borderId="10" xfId="71" applyNumberFormat="1" applyFont="1" applyBorder="1" applyAlignment="1" applyProtection="1">
      <alignment horizontal="center" vertical="top"/>
      <protection/>
    </xf>
    <xf numFmtId="3" fontId="27" fillId="0" borderId="0" xfId="71" applyNumberFormat="1" applyFont="1" applyAlignment="1" applyProtection="1">
      <alignment wrapText="1"/>
      <protection/>
    </xf>
    <xf numFmtId="0" fontId="59" fillId="0" borderId="0" xfId="71" applyFont="1" applyAlignment="1" applyProtection="1">
      <alignment vertical="center" wrapText="1"/>
      <protection/>
    </xf>
    <xf numFmtId="0" fontId="59" fillId="0" borderId="0" xfId="71" applyFont="1" applyAlignment="1" applyProtection="1">
      <alignment vertical="center"/>
      <protection/>
    </xf>
    <xf numFmtId="0" fontId="59" fillId="0" borderId="0" xfId="71" applyFont="1" applyAlignment="1" applyProtection="1">
      <alignment wrapText="1"/>
      <protection/>
    </xf>
    <xf numFmtId="0" fontId="59" fillId="0" borderId="0" xfId="71" applyFont="1" applyProtection="1">
      <alignment/>
      <protection/>
    </xf>
    <xf numFmtId="0" fontId="59" fillId="0" borderId="0" xfId="71" applyFont="1" applyAlignment="1" applyProtection="1">
      <alignment horizontal="center" vertical="center" wrapText="1"/>
      <protection/>
    </xf>
    <xf numFmtId="0" fontId="59" fillId="0" borderId="0" xfId="71" applyFont="1" applyAlignment="1" applyProtection="1">
      <alignment horizontal="center" vertical="center"/>
      <protection/>
    </xf>
    <xf numFmtId="0" fontId="30" fillId="0" borderId="0" xfId="71" applyFont="1" applyAlignment="1" applyProtection="1">
      <alignment vertical="center"/>
      <protection/>
    </xf>
    <xf numFmtId="0" fontId="30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0" fontId="27" fillId="0" borderId="0" xfId="71" applyFont="1" applyAlignment="1" applyProtection="1">
      <alignment vertical="center" wrapText="1"/>
      <protection/>
    </xf>
    <xf numFmtId="0" fontId="27" fillId="0" borderId="0" xfId="71" applyFont="1" applyAlignment="1" applyProtection="1">
      <alignment vertical="center"/>
      <protection/>
    </xf>
    <xf numFmtId="3" fontId="27" fillId="0" borderId="0" xfId="71" applyNumberFormat="1" applyFont="1" applyFill="1" applyAlignment="1" applyProtection="1">
      <alignment horizontal="left" wrapText="1"/>
      <protection/>
    </xf>
    <xf numFmtId="3" fontId="27" fillId="0" borderId="0" xfId="71" applyNumberFormat="1" applyFont="1" applyFill="1" applyAlignment="1" applyProtection="1">
      <alignment horizontal="left"/>
      <protection/>
    </xf>
    <xf numFmtId="3" fontId="27" fillId="0" borderId="0" xfId="71" applyNumberFormat="1" applyFont="1" applyFill="1" applyAlignment="1" applyProtection="1">
      <alignment horizontal="center" wrapText="1"/>
      <protection/>
    </xf>
    <xf numFmtId="0" fontId="28" fillId="0" borderId="19" xfId="71" applyFont="1" applyFill="1" applyBorder="1" applyAlignment="1" applyProtection="1">
      <alignment horizontal="center" vertical="top" wrapText="1"/>
      <protection/>
    </xf>
    <xf numFmtId="0" fontId="28" fillId="0" borderId="0" xfId="71" applyFont="1" applyFill="1" applyAlignment="1" applyProtection="1">
      <alignment vertical="center" wrapText="1"/>
      <protection/>
    </xf>
    <xf numFmtId="0" fontId="48" fillId="0" borderId="10" xfId="71" applyFont="1" applyFill="1" applyBorder="1" applyAlignment="1" applyProtection="1">
      <alignment horizontal="center"/>
      <protection/>
    </xf>
    <xf numFmtId="0" fontId="48" fillId="0" borderId="10" xfId="71" applyFont="1" applyFill="1" applyBorder="1" applyAlignment="1" applyProtection="1">
      <alignment horizontal="center" wrapText="1"/>
      <protection/>
    </xf>
    <xf numFmtId="3" fontId="48" fillId="0" borderId="10" xfId="71" applyNumberFormat="1" applyFont="1" applyFill="1" applyBorder="1" applyAlignment="1" applyProtection="1">
      <alignment horizontal="center" wrapText="1"/>
      <protection/>
    </xf>
    <xf numFmtId="0" fontId="48" fillId="0" borderId="0" xfId="71" applyFont="1" applyFill="1" applyAlignment="1" applyProtection="1">
      <alignment horizontal="center" wrapText="1"/>
      <protection/>
    </xf>
    <xf numFmtId="3" fontId="39" fillId="0" borderId="10" xfId="71" applyNumberFormat="1" applyFont="1" applyFill="1" applyBorder="1" applyAlignment="1" applyProtection="1">
      <alignment horizontal="right" vertical="center" wrapText="1"/>
      <protection/>
    </xf>
    <xf numFmtId="0" fontId="39" fillId="0" borderId="0" xfId="71" applyFont="1" applyFill="1" applyAlignment="1" applyProtection="1">
      <alignment horizontal="center" vertical="center"/>
      <protection/>
    </xf>
    <xf numFmtId="49" fontId="27" fillId="0" borderId="19" xfId="71" applyNumberFormat="1" applyFont="1" applyFill="1" applyBorder="1" applyAlignment="1" applyProtection="1">
      <alignment horizontal="center" vertical="top"/>
      <protection/>
    </xf>
    <xf numFmtId="0" fontId="27" fillId="0" borderId="10" xfId="71" applyFont="1" applyFill="1" applyBorder="1" applyAlignment="1" applyProtection="1">
      <alignment vertical="top" wrapText="1"/>
      <protection/>
    </xf>
    <xf numFmtId="0" fontId="27" fillId="0" borderId="10" xfId="71" applyFont="1" applyFill="1" applyBorder="1" applyAlignment="1" applyProtection="1">
      <alignment horizontal="justify" vertical="top" wrapText="1"/>
      <protection/>
    </xf>
    <xf numFmtId="3" fontId="27" fillId="0" borderId="10" xfId="71" applyNumberFormat="1" applyFont="1" applyFill="1" applyBorder="1" applyAlignment="1" applyProtection="1">
      <alignment horizontal="right" vertical="top"/>
      <protection/>
    </xf>
    <xf numFmtId="3" fontId="27" fillId="0" borderId="10" xfId="71" applyNumberFormat="1" applyFont="1" applyFill="1" applyBorder="1" applyAlignment="1" applyProtection="1">
      <alignment vertical="top" wrapText="1"/>
      <protection/>
    </xf>
    <xf numFmtId="0" fontId="27" fillId="0" borderId="0" xfId="71" applyFont="1" applyFill="1" applyAlignment="1" applyProtection="1">
      <alignment vertical="top" wrapText="1"/>
      <protection/>
    </xf>
    <xf numFmtId="49" fontId="27" fillId="0" borderId="29" xfId="71" applyNumberFormat="1" applyFont="1" applyFill="1" applyBorder="1" applyAlignment="1" applyProtection="1">
      <alignment horizontal="center" vertical="top"/>
      <protection/>
    </xf>
    <xf numFmtId="49" fontId="27" fillId="0" borderId="41" xfId="71" applyNumberFormat="1" applyFont="1" applyFill="1" applyBorder="1" applyAlignment="1" applyProtection="1">
      <alignment horizontal="center" vertical="top"/>
      <protection/>
    </xf>
    <xf numFmtId="9" fontId="27" fillId="0" borderId="29" xfId="77" applyFont="1" applyFill="1" applyBorder="1" applyAlignment="1" applyProtection="1">
      <alignment horizontal="center" vertical="top"/>
      <protection/>
    </xf>
    <xf numFmtId="1" fontId="27" fillId="0" borderId="29" xfId="77" applyNumberFormat="1" applyFont="1" applyFill="1" applyBorder="1" applyAlignment="1" applyProtection="1">
      <alignment horizontal="center" vertical="top"/>
      <protection/>
    </xf>
    <xf numFmtId="9" fontId="27" fillId="0" borderId="10" xfId="77" applyFont="1" applyFill="1" applyBorder="1" applyAlignment="1" applyProtection="1">
      <alignment vertical="top" wrapText="1"/>
      <protection/>
    </xf>
    <xf numFmtId="9" fontId="27" fillId="0" borderId="10" xfId="77" applyFont="1" applyFill="1" applyBorder="1" applyAlignment="1" applyProtection="1">
      <alignment horizontal="justify" vertical="top" wrapText="1"/>
      <protection/>
    </xf>
    <xf numFmtId="3" fontId="27" fillId="0" borderId="10" xfId="77" applyNumberFormat="1" applyFont="1" applyFill="1" applyBorder="1" applyAlignment="1" applyProtection="1">
      <alignment horizontal="right" vertical="top"/>
      <protection/>
    </xf>
    <xf numFmtId="3" fontId="27" fillId="0" borderId="10" xfId="77" applyNumberFormat="1" applyFont="1" applyFill="1" applyBorder="1" applyAlignment="1" applyProtection="1">
      <alignment vertical="top" wrapText="1"/>
      <protection/>
    </xf>
    <xf numFmtId="9" fontId="27" fillId="0" borderId="0" xfId="77" applyFont="1" applyFill="1" applyAlignment="1" applyProtection="1">
      <alignment vertical="top" wrapText="1"/>
      <protection/>
    </xf>
    <xf numFmtId="9" fontId="27" fillId="0" borderId="0" xfId="77" applyFont="1" applyFill="1" applyAlignment="1" applyProtection="1">
      <alignment vertical="top"/>
      <protection/>
    </xf>
    <xf numFmtId="49" fontId="27" fillId="0" borderId="10" xfId="71" applyNumberFormat="1" applyFont="1" applyFill="1" applyBorder="1" applyAlignment="1" applyProtection="1">
      <alignment horizontal="center" vertical="top"/>
      <protection/>
    </xf>
    <xf numFmtId="49" fontId="27" fillId="0" borderId="19" xfId="71" applyNumberFormat="1" applyFont="1" applyFill="1" applyBorder="1" applyAlignment="1" applyProtection="1">
      <alignment horizontal="center" vertical="top" wrapText="1"/>
      <protection/>
    </xf>
    <xf numFmtId="3" fontId="27" fillId="0" borderId="0" xfId="71" applyNumberFormat="1" applyFont="1" applyFill="1" applyAlignment="1" applyProtection="1">
      <alignment vertical="center" wrapText="1"/>
      <protection/>
    </xf>
    <xf numFmtId="0" fontId="59" fillId="0" borderId="0" xfId="71" applyFont="1" applyFill="1" applyProtection="1">
      <alignment/>
      <protection/>
    </xf>
    <xf numFmtId="0" fontId="59" fillId="0" borderId="0" xfId="71" applyFont="1" applyFill="1" applyAlignment="1" applyProtection="1">
      <alignment vertical="center"/>
      <protection/>
    </xf>
    <xf numFmtId="0" fontId="30" fillId="0" borderId="0" xfId="71" applyFont="1" applyFill="1" applyProtection="1">
      <alignment/>
      <protection/>
    </xf>
    <xf numFmtId="0" fontId="28" fillId="0" borderId="0" xfId="71" applyFont="1" applyFill="1" applyProtection="1">
      <alignment/>
      <protection/>
    </xf>
    <xf numFmtId="0" fontId="4" fillId="0" borderId="0" xfId="65" applyFont="1" applyFill="1" applyAlignment="1" applyProtection="1">
      <alignment horizontal="center"/>
      <protection/>
    </xf>
    <xf numFmtId="0" fontId="4" fillId="0" borderId="0" xfId="65" applyFont="1" applyFill="1" applyAlignment="1" applyProtection="1">
      <alignment horizontal="center" wrapText="1"/>
      <protection/>
    </xf>
    <xf numFmtId="0" fontId="4" fillId="0" borderId="0" xfId="65" applyFont="1" applyFill="1" applyAlignment="1" applyProtection="1">
      <alignment horizontal="center" vertical="center" wrapText="1"/>
      <protection/>
    </xf>
    <xf numFmtId="0" fontId="4" fillId="0" borderId="0" xfId="65" applyFont="1" applyFill="1" applyAlignment="1" applyProtection="1">
      <alignment/>
      <protection/>
    </xf>
    <xf numFmtId="0" fontId="4" fillId="0" borderId="0" xfId="65" applyFont="1" applyFill="1" applyProtection="1">
      <alignment/>
      <protection/>
    </xf>
    <xf numFmtId="0" fontId="9" fillId="0" borderId="0" xfId="65" applyFill="1" applyProtection="1">
      <alignment/>
      <protection/>
    </xf>
    <xf numFmtId="0" fontId="4" fillId="0" borderId="0" xfId="65" applyFont="1" applyFill="1" applyAlignment="1" applyProtection="1">
      <alignment horizontal="left"/>
      <protection/>
    </xf>
    <xf numFmtId="0" fontId="9" fillId="0" borderId="0" xfId="65" applyProtection="1">
      <alignment/>
      <protection/>
    </xf>
    <xf numFmtId="0" fontId="4" fillId="0" borderId="0" xfId="65" applyFont="1" applyAlignment="1" applyProtection="1">
      <alignment horizontal="center"/>
      <protection/>
    </xf>
    <xf numFmtId="0" fontId="4" fillId="0" borderId="0" xfId="65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4" fillId="0" borderId="0" xfId="65" applyFont="1" applyProtection="1">
      <alignment/>
      <protection/>
    </xf>
    <xf numFmtId="0" fontId="4" fillId="0" borderId="0" xfId="65" applyFont="1" applyAlignment="1" applyProtection="1">
      <alignment horizontal="right"/>
      <protection/>
    </xf>
    <xf numFmtId="0" fontId="3" fillId="0" borderId="10" xfId="65" applyFont="1" applyBorder="1" applyAlignment="1" applyProtection="1">
      <alignment horizontal="center" vertical="center" wrapText="1"/>
      <protection/>
    </xf>
    <xf numFmtId="0" fontId="9" fillId="0" borderId="0" xfId="65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60" fillId="0" borderId="0" xfId="65" applyFont="1" applyAlignment="1" applyProtection="1">
      <alignment horizontal="center"/>
      <protection/>
    </xf>
    <xf numFmtId="0" fontId="47" fillId="0" borderId="10" xfId="65" applyFont="1" applyFill="1" applyBorder="1" applyAlignment="1" applyProtection="1">
      <alignment horizontal="center" vertical="center"/>
      <protection/>
    </xf>
    <xf numFmtId="0" fontId="35" fillId="0" borderId="10" xfId="65" applyFont="1" applyFill="1" applyBorder="1" applyAlignment="1" applyProtection="1">
      <alignment horizontal="left" vertical="center" wrapText="1"/>
      <protection/>
    </xf>
    <xf numFmtId="0" fontId="35" fillId="0" borderId="13" xfId="65" applyFont="1" applyFill="1" applyBorder="1" applyAlignment="1" applyProtection="1">
      <alignment horizontal="center" vertical="center" wrapText="1"/>
      <protection/>
    </xf>
    <xf numFmtId="0" fontId="35" fillId="0" borderId="13" xfId="65" applyFont="1" applyFill="1" applyBorder="1" applyAlignment="1" applyProtection="1">
      <alignment horizontal="right" vertical="center" wrapText="1"/>
      <protection/>
    </xf>
    <xf numFmtId="3" fontId="35" fillId="0" borderId="10" xfId="65" applyNumberFormat="1" applyFont="1" applyFill="1" applyBorder="1" applyAlignment="1" applyProtection="1">
      <alignment vertical="center"/>
      <protection/>
    </xf>
    <xf numFmtId="3" fontId="35" fillId="0" borderId="10" xfId="65" applyNumberFormat="1" applyFont="1" applyFill="1" applyBorder="1" applyAlignment="1" applyProtection="1">
      <alignment horizontal="right" vertical="center"/>
      <protection/>
    </xf>
    <xf numFmtId="0" fontId="61" fillId="0" borderId="0" xfId="65" applyFont="1" applyFill="1" applyAlignment="1" applyProtection="1">
      <alignment vertical="center"/>
      <protection/>
    </xf>
    <xf numFmtId="0" fontId="47" fillId="0" borderId="19" xfId="65" applyFont="1" applyFill="1" applyBorder="1" applyAlignment="1" applyProtection="1">
      <alignment horizontal="center" vertical="center"/>
      <protection/>
    </xf>
    <xf numFmtId="0" fontId="35" fillId="0" borderId="19" xfId="65" applyFont="1" applyFill="1" applyBorder="1" applyAlignment="1" applyProtection="1">
      <alignment horizontal="left" vertical="center" wrapText="1"/>
      <protection/>
    </xf>
    <xf numFmtId="0" fontId="19" fillId="0" borderId="29" xfId="65" applyFont="1" applyFill="1" applyBorder="1" applyAlignment="1" applyProtection="1">
      <alignment horizontal="center" vertical="center"/>
      <protection/>
    </xf>
    <xf numFmtId="0" fontId="19" fillId="0" borderId="29" xfId="65" applyFont="1" applyFill="1" applyBorder="1" applyAlignment="1" applyProtection="1">
      <alignment horizontal="left" vertical="center" wrapText="1"/>
      <protection/>
    </xf>
    <xf numFmtId="0" fontId="19" fillId="0" borderId="13" xfId="65" applyFont="1" applyFill="1" applyBorder="1" applyAlignment="1" applyProtection="1">
      <alignment horizontal="center" vertical="center" wrapText="1"/>
      <protection/>
    </xf>
    <xf numFmtId="0" fontId="19" fillId="0" borderId="13" xfId="65" applyFont="1" applyFill="1" applyBorder="1" applyAlignment="1" applyProtection="1">
      <alignment horizontal="right" vertical="center" wrapText="1"/>
      <protection/>
    </xf>
    <xf numFmtId="3" fontId="19" fillId="0" borderId="10" xfId="65" applyNumberFormat="1" applyFont="1" applyFill="1" applyBorder="1" applyAlignment="1" applyProtection="1">
      <alignment vertical="center"/>
      <protection/>
    </xf>
    <xf numFmtId="3" fontId="19" fillId="0" borderId="10" xfId="65" applyNumberFormat="1" applyFont="1" applyFill="1" applyBorder="1" applyAlignment="1" applyProtection="1">
      <alignment horizontal="right" vertical="center"/>
      <protection/>
    </xf>
    <xf numFmtId="0" fontId="62" fillId="0" borderId="0" xfId="65" applyFont="1" applyFill="1" applyAlignment="1" applyProtection="1">
      <alignment vertical="center"/>
      <protection/>
    </xf>
    <xf numFmtId="0" fontId="19" fillId="0" borderId="41" xfId="65" applyFont="1" applyFill="1" applyBorder="1" applyAlignment="1" applyProtection="1">
      <alignment horizontal="center" vertical="center"/>
      <protection/>
    </xf>
    <xf numFmtId="0" fontId="19" fillId="0" borderId="41" xfId="65" applyFont="1" applyFill="1" applyBorder="1" applyAlignment="1" applyProtection="1">
      <alignment horizontal="left" vertical="center" wrapText="1"/>
      <protection/>
    </xf>
    <xf numFmtId="0" fontId="35" fillId="0" borderId="10" xfId="65" applyFont="1" applyFill="1" applyBorder="1" applyAlignment="1" applyProtection="1">
      <alignment horizontal="left" vertical="top" wrapText="1"/>
      <protection/>
    </xf>
    <xf numFmtId="0" fontId="61" fillId="0" borderId="0" xfId="65" applyFont="1" applyFill="1" applyAlignment="1" applyProtection="1">
      <alignment/>
      <protection/>
    </xf>
    <xf numFmtId="0" fontId="61" fillId="0" borderId="0" xfId="65" applyFont="1" applyFill="1" applyProtection="1">
      <alignment/>
      <protection/>
    </xf>
    <xf numFmtId="0" fontId="35" fillId="0" borderId="10" xfId="65" applyFont="1" applyFill="1" applyBorder="1" applyAlignment="1" applyProtection="1">
      <alignment horizontal="center" vertical="center" wrapText="1"/>
      <protection/>
    </xf>
    <xf numFmtId="0" fontId="18" fillId="0" borderId="15" xfId="65" applyFont="1" applyFill="1" applyBorder="1" applyAlignment="1" applyProtection="1">
      <alignment horizontal="center" vertical="center"/>
      <protection/>
    </xf>
    <xf numFmtId="0" fontId="20" fillId="0" borderId="46" xfId="65" applyFont="1" applyFill="1" applyBorder="1" applyAlignment="1" applyProtection="1">
      <alignment horizontal="left" vertical="center" wrapText="1"/>
      <protection/>
    </xf>
    <xf numFmtId="0" fontId="20" fillId="0" borderId="13" xfId="65" applyFont="1" applyFill="1" applyBorder="1" applyAlignment="1" applyProtection="1">
      <alignment horizontal="center" vertical="center" wrapText="1"/>
      <protection/>
    </xf>
    <xf numFmtId="3" fontId="20" fillId="0" borderId="10" xfId="65" applyNumberFormat="1" applyFont="1" applyFill="1" applyBorder="1" applyAlignment="1" applyProtection="1">
      <alignment horizontal="right" vertical="center"/>
      <protection/>
    </xf>
    <xf numFmtId="0" fontId="63" fillId="0" borderId="0" xfId="65" applyFont="1" applyFill="1" applyAlignment="1" applyProtection="1">
      <alignment vertical="center"/>
      <protection/>
    </xf>
    <xf numFmtId="49" fontId="20" fillId="32" borderId="21" xfId="68" applyNumberFormat="1" applyFont="1" applyFill="1" applyBorder="1" applyAlignment="1" applyProtection="1">
      <alignment horizontal="center" vertical="center"/>
      <protection/>
    </xf>
    <xf numFmtId="49" fontId="20" fillId="32" borderId="22" xfId="68" applyNumberFormat="1" applyFont="1" applyFill="1" applyBorder="1" applyAlignment="1" applyProtection="1">
      <alignment horizontal="center" vertical="center"/>
      <protection/>
    </xf>
    <xf numFmtId="2" fontId="3" fillId="0" borderId="19" xfId="68" applyNumberFormat="1" applyFont="1" applyFill="1" applyBorder="1" applyAlignment="1" applyProtection="1">
      <alignment horizontal="center" vertical="center" wrapText="1"/>
      <protection/>
    </xf>
    <xf numFmtId="2" fontId="3" fillId="0" borderId="40" xfId="68" applyNumberFormat="1" applyFont="1" applyFill="1" applyBorder="1" applyAlignment="1" applyProtection="1">
      <alignment horizontal="center" vertical="center" wrapText="1"/>
      <protection/>
    </xf>
    <xf numFmtId="2" fontId="3" fillId="0" borderId="59" xfId="68" applyNumberFormat="1" applyFont="1" applyFill="1" applyBorder="1" applyAlignment="1" applyProtection="1">
      <alignment horizontal="center" vertical="center" wrapText="1"/>
      <protection/>
    </xf>
    <xf numFmtId="2" fontId="3" fillId="0" borderId="61" xfId="68" applyNumberFormat="1" applyFont="1" applyFill="1" applyBorder="1" applyAlignment="1" applyProtection="1">
      <alignment horizontal="center" vertical="center" wrapText="1"/>
      <protection/>
    </xf>
    <xf numFmtId="2" fontId="3" fillId="0" borderId="19" xfId="68" applyNumberFormat="1" applyFont="1" applyFill="1" applyBorder="1" applyAlignment="1" applyProtection="1">
      <alignment horizontal="center" vertical="center" wrapText="1"/>
      <protection/>
    </xf>
    <xf numFmtId="2" fontId="3" fillId="0" borderId="41" xfId="68" applyNumberFormat="1" applyFont="1" applyFill="1" applyBorder="1" applyAlignment="1" applyProtection="1">
      <alignment horizontal="center" vertical="center" wrapText="1"/>
      <protection/>
    </xf>
    <xf numFmtId="2" fontId="3" fillId="0" borderId="77" xfId="68" applyNumberFormat="1" applyFont="1" applyFill="1" applyBorder="1" applyAlignment="1" applyProtection="1">
      <alignment horizontal="center" vertical="center" wrapText="1"/>
      <protection/>
    </xf>
    <xf numFmtId="2" fontId="3" fillId="0" borderId="58" xfId="68" applyNumberFormat="1" applyFont="1" applyFill="1" applyBorder="1" applyAlignment="1" applyProtection="1">
      <alignment horizontal="center" vertical="center" wrapText="1"/>
      <protection/>
    </xf>
    <xf numFmtId="2" fontId="3" fillId="0" borderId="34" xfId="68" applyNumberFormat="1" applyFont="1" applyFill="1" applyBorder="1" applyAlignment="1" applyProtection="1">
      <alignment horizontal="center" vertical="center" wrapText="1"/>
      <protection/>
    </xf>
    <xf numFmtId="2" fontId="3" fillId="0" borderId="29" xfId="68" applyNumberFormat="1" applyFont="1" applyFill="1" applyBorder="1" applyAlignment="1" applyProtection="1">
      <alignment horizontal="center" vertical="center" wrapText="1"/>
      <protection/>
    </xf>
    <xf numFmtId="2" fontId="3" fillId="0" borderId="41" xfId="68" applyNumberFormat="1" applyFont="1" applyFill="1" applyBorder="1" applyAlignment="1" applyProtection="1">
      <alignment horizontal="center" vertical="center" wrapText="1"/>
      <protection/>
    </xf>
    <xf numFmtId="2" fontId="3" fillId="0" borderId="34" xfId="68" applyNumberFormat="1" applyFont="1" applyFill="1" applyBorder="1" applyAlignment="1" applyProtection="1">
      <alignment horizontal="center" vertical="center" wrapText="1"/>
      <protection/>
    </xf>
    <xf numFmtId="2" fontId="3" fillId="0" borderId="29" xfId="68" applyNumberFormat="1" applyFont="1" applyFill="1" applyBorder="1" applyAlignment="1" applyProtection="1">
      <alignment horizontal="center" vertical="center" wrapText="1"/>
      <protection/>
    </xf>
    <xf numFmtId="49" fontId="13" fillId="0" borderId="0" xfId="68" applyNumberFormat="1" applyFont="1" applyFill="1" applyAlignment="1" applyProtection="1">
      <alignment horizontal="center" vertical="center"/>
      <protection/>
    </xf>
    <xf numFmtId="49" fontId="3" fillId="0" borderId="78" xfId="68" applyNumberFormat="1" applyFont="1" applyFill="1" applyBorder="1" applyAlignment="1" applyProtection="1">
      <alignment horizontal="center" vertical="center" wrapText="1"/>
      <protection/>
    </xf>
    <xf numFmtId="49" fontId="3" fillId="0" borderId="54" xfId="68" applyNumberFormat="1" applyFont="1" applyFill="1" applyBorder="1" applyAlignment="1" applyProtection="1">
      <alignment horizontal="center" vertical="center" wrapText="1"/>
      <protection/>
    </xf>
    <xf numFmtId="49" fontId="3" fillId="0" borderId="63" xfId="68" applyNumberFormat="1" applyFont="1" applyFill="1" applyBorder="1" applyAlignment="1" applyProtection="1">
      <alignment horizontal="center" vertical="center" wrapText="1"/>
      <protection/>
    </xf>
    <xf numFmtId="49" fontId="3" fillId="0" borderId="77" xfId="68" applyNumberFormat="1" applyFont="1" applyFill="1" applyBorder="1" applyAlignment="1" applyProtection="1">
      <alignment horizontal="center" vertical="center" wrapText="1"/>
      <protection/>
    </xf>
    <xf numFmtId="49" fontId="3" fillId="0" borderId="58" xfId="68" applyNumberFormat="1" applyFont="1" applyFill="1" applyBorder="1" applyAlignment="1" applyProtection="1">
      <alignment horizontal="center" vertical="center" wrapText="1"/>
      <protection/>
    </xf>
    <xf numFmtId="49" fontId="3" fillId="0" borderId="40" xfId="68" applyNumberFormat="1" applyFont="1" applyFill="1" applyBorder="1" applyAlignment="1" applyProtection="1">
      <alignment horizontal="center" vertical="center" wrapText="1"/>
      <protection/>
    </xf>
    <xf numFmtId="2" fontId="3" fillId="0" borderId="20" xfId="68" applyNumberFormat="1" applyFont="1" applyFill="1" applyBorder="1" applyAlignment="1" applyProtection="1">
      <alignment horizontal="center" vertical="center" wrapText="1"/>
      <protection/>
    </xf>
    <xf numFmtId="2" fontId="3" fillId="0" borderId="44" xfId="68" applyNumberFormat="1" applyFont="1" applyFill="1" applyBorder="1" applyAlignment="1" applyProtection="1">
      <alignment horizontal="center" vertical="center" wrapText="1"/>
      <protection/>
    </xf>
    <xf numFmtId="2" fontId="3" fillId="0" borderId="59" xfId="68" applyNumberFormat="1" applyFont="1" applyFill="1" applyBorder="1" applyAlignment="1" applyProtection="1">
      <alignment horizontal="center" vertical="center" wrapText="1"/>
      <protection/>
    </xf>
    <xf numFmtId="2" fontId="3" fillId="0" borderId="10" xfId="6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2" fontId="3" fillId="0" borderId="16" xfId="68" applyNumberFormat="1" applyFont="1" applyFill="1" applyBorder="1" applyAlignment="1" applyProtection="1">
      <alignment horizontal="center" vertical="center" wrapText="1"/>
      <protection/>
    </xf>
    <xf numFmtId="2" fontId="3" fillId="0" borderId="35" xfId="68" applyNumberFormat="1" applyFont="1" applyFill="1" applyBorder="1" applyAlignment="1" applyProtection="1">
      <alignment horizontal="center" vertical="center" wrapText="1"/>
      <protection/>
    </xf>
    <xf numFmtId="2" fontId="3" fillId="0" borderId="38" xfId="6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49" fontId="7" fillId="0" borderId="0" xfId="0" applyNumberFormat="1" applyFont="1" applyAlignment="1" applyProtection="1">
      <alignment horizontal="center" vertical="top" wrapText="1"/>
      <protection/>
    </xf>
    <xf numFmtId="0" fontId="11" fillId="0" borderId="0" xfId="0" applyFont="1" applyAlignment="1" applyProtection="1">
      <alignment horizont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49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4" fillId="0" borderId="51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left" wrapText="1"/>
      <protection/>
    </xf>
    <xf numFmtId="0" fontId="24" fillId="0" borderId="13" xfId="0" applyFont="1" applyBorder="1" applyAlignment="1" applyProtection="1">
      <alignment horizontal="left" wrapText="1"/>
      <protection/>
    </xf>
    <xf numFmtId="0" fontId="23" fillId="0" borderId="0" xfId="0" applyFont="1" applyFill="1" applyAlignment="1" applyProtection="1">
      <alignment horizontal="center"/>
      <protection/>
    </xf>
    <xf numFmtId="0" fontId="24" fillId="0" borderId="78" xfId="0" applyFont="1" applyBorder="1" applyAlignment="1" applyProtection="1">
      <alignment horizontal="center" vertical="center" wrapText="1"/>
      <protection/>
    </xf>
    <xf numFmtId="0" fontId="24" fillId="0" borderId="54" xfId="0" applyFont="1" applyBorder="1" applyAlignment="1" applyProtection="1">
      <alignment horizontal="center" vertical="center" wrapText="1"/>
      <protection/>
    </xf>
    <xf numFmtId="0" fontId="24" fillId="0" borderId="76" xfId="0" applyFont="1" applyBorder="1" applyAlignment="1" applyProtection="1">
      <alignment horizontal="center" vertical="center" wrapText="1"/>
      <protection/>
    </xf>
    <xf numFmtId="0" fontId="24" fillId="0" borderId="34" xfId="0" applyFont="1" applyBorder="1" applyAlignment="1" applyProtection="1">
      <alignment horizontal="center" vertical="center" wrapText="1"/>
      <protection/>
    </xf>
    <xf numFmtId="0" fontId="24" fillId="0" borderId="29" xfId="0" applyFont="1" applyBorder="1" applyAlignment="1" applyProtection="1">
      <alignment horizontal="center" vertical="center" wrapText="1"/>
      <protection/>
    </xf>
    <xf numFmtId="0" fontId="24" fillId="33" borderId="34" xfId="0" applyFont="1" applyFill="1" applyBorder="1" applyAlignment="1" applyProtection="1">
      <alignment horizontal="center" vertical="center" wrapText="1"/>
      <protection/>
    </xf>
    <xf numFmtId="0" fontId="24" fillId="33" borderId="29" xfId="0" applyFont="1" applyFill="1" applyBorder="1" applyAlignment="1" applyProtection="1">
      <alignment horizontal="center" vertical="center" wrapText="1"/>
      <protection/>
    </xf>
    <xf numFmtId="0" fontId="24" fillId="33" borderId="49" xfId="0" applyFont="1" applyFill="1" applyBorder="1" applyAlignment="1" applyProtection="1">
      <alignment horizontal="center" vertical="center" wrapText="1"/>
      <protection/>
    </xf>
    <xf numFmtId="0" fontId="24" fillId="0" borderId="33" xfId="0" applyFont="1" applyBorder="1" applyAlignment="1" applyProtection="1">
      <alignment horizontal="center" wrapText="1"/>
      <protection/>
    </xf>
    <xf numFmtId="0" fontId="24" fillId="0" borderId="36" xfId="0" applyFont="1" applyBorder="1" applyAlignment="1" applyProtection="1">
      <alignment horizontal="center" wrapText="1"/>
      <protection/>
    </xf>
    <xf numFmtId="0" fontId="24" fillId="0" borderId="79" xfId="0" applyFont="1" applyBorder="1" applyAlignment="1" applyProtection="1">
      <alignment horizontal="center" wrapText="1"/>
      <protection/>
    </xf>
    <xf numFmtId="0" fontId="24" fillId="0" borderId="46" xfId="0" applyFont="1" applyBorder="1" applyAlignment="1" applyProtection="1">
      <alignment horizontal="left" wrapText="1"/>
      <protection/>
    </xf>
    <xf numFmtId="0" fontId="24" fillId="0" borderId="80" xfId="0" applyFont="1" applyBorder="1" applyAlignment="1" applyProtection="1">
      <alignment horizontal="left" wrapText="1"/>
      <protection/>
    </xf>
    <xf numFmtId="0" fontId="20" fillId="0" borderId="0" xfId="0" applyFont="1" applyAlignment="1" applyProtection="1">
      <alignment horizontal="center"/>
      <protection/>
    </xf>
    <xf numFmtId="0" fontId="27" fillId="0" borderId="65" xfId="72" applyFont="1" applyBorder="1" applyAlignment="1" applyProtection="1">
      <alignment horizontal="center" wrapText="1"/>
      <protection/>
    </xf>
    <xf numFmtId="0" fontId="27" fillId="0" borderId="72" xfId="72" applyFont="1" applyBorder="1" applyAlignment="1" applyProtection="1">
      <alignment horizontal="center" wrapText="1"/>
      <protection/>
    </xf>
    <xf numFmtId="0" fontId="28" fillId="0" borderId="70" xfId="72" applyFont="1" applyBorder="1" applyAlignment="1" applyProtection="1">
      <alignment horizontal="center" wrapText="1"/>
      <protection/>
    </xf>
    <xf numFmtId="0" fontId="28" fillId="0" borderId="69" xfId="72" applyFont="1" applyBorder="1" applyAlignment="1" applyProtection="1">
      <alignment horizontal="center" wrapText="1"/>
      <protection/>
    </xf>
    <xf numFmtId="0" fontId="28" fillId="0" borderId="65" xfId="72" applyFont="1" applyBorder="1" applyAlignment="1" applyProtection="1">
      <alignment horizontal="center" wrapText="1"/>
      <protection/>
    </xf>
    <xf numFmtId="0" fontId="28" fillId="0" borderId="72" xfId="72" applyFont="1" applyBorder="1" applyAlignment="1" applyProtection="1">
      <alignment horizontal="center" wrapText="1"/>
      <protection/>
    </xf>
    <xf numFmtId="0" fontId="34" fillId="0" borderId="71" xfId="72" applyFont="1" applyBorder="1" applyAlignment="1" applyProtection="1">
      <alignment horizontal="left" wrapText="1"/>
      <protection/>
    </xf>
    <xf numFmtId="0" fontId="34" fillId="0" borderId="0" xfId="72" applyFont="1" applyBorder="1" applyAlignment="1" applyProtection="1">
      <alignment horizontal="left" wrapText="1"/>
      <protection/>
    </xf>
    <xf numFmtId="0" fontId="34" fillId="0" borderId="72" xfId="72" applyFont="1" applyBorder="1" applyAlignment="1" applyProtection="1">
      <alignment horizontal="left" wrapText="1"/>
      <protection/>
    </xf>
    <xf numFmtId="0" fontId="32" fillId="0" borderId="65" xfId="72" applyFont="1" applyBorder="1" applyAlignment="1" applyProtection="1">
      <alignment horizontal="center" wrapText="1"/>
      <protection/>
    </xf>
    <xf numFmtId="0" fontId="32" fillId="0" borderId="72" xfId="72" applyFont="1" applyBorder="1" applyAlignment="1" applyProtection="1">
      <alignment horizontal="center" wrapText="1"/>
      <protection/>
    </xf>
    <xf numFmtId="0" fontId="23" fillId="0" borderId="0" xfId="69" applyFont="1" applyAlignment="1" applyProtection="1">
      <alignment horizontal="center" wrapText="1"/>
      <protection/>
    </xf>
    <xf numFmtId="0" fontId="28" fillId="0" borderId="0" xfId="69" applyFont="1" applyAlignment="1" applyProtection="1">
      <alignment horizontal="center" wrapText="1"/>
      <protection/>
    </xf>
    <xf numFmtId="0" fontId="27" fillId="0" borderId="0" xfId="69" applyFont="1" applyAlignment="1" applyProtection="1">
      <alignment horizontal="left" wrapText="1"/>
      <protection/>
    </xf>
    <xf numFmtId="0" fontId="28" fillId="0" borderId="68" xfId="72" applyFont="1" applyBorder="1" applyAlignment="1" applyProtection="1">
      <alignment horizontal="center" vertical="center" wrapText="1"/>
      <protection/>
    </xf>
    <xf numFmtId="0" fontId="28" fillId="0" borderId="70" xfId="72" applyFont="1" applyBorder="1" applyAlignment="1" applyProtection="1">
      <alignment horizontal="center" vertical="center" wrapText="1"/>
      <protection/>
    </xf>
    <xf numFmtId="0" fontId="28" fillId="0" borderId="27" xfId="72" applyFont="1" applyBorder="1" applyAlignment="1" applyProtection="1">
      <alignment horizontal="center" vertical="center" wrapText="1"/>
      <protection/>
    </xf>
    <xf numFmtId="0" fontId="28" fillId="0" borderId="47" xfId="72" applyFont="1" applyBorder="1" applyAlignment="1" applyProtection="1">
      <alignment horizontal="center" vertical="center" wrapText="1"/>
      <protection/>
    </xf>
    <xf numFmtId="0" fontId="28" fillId="0" borderId="68" xfId="72" applyFont="1" applyFill="1" applyBorder="1" applyAlignment="1" applyProtection="1">
      <alignment horizontal="center" vertical="center" wrapText="1"/>
      <protection/>
    </xf>
    <xf numFmtId="0" fontId="28" fillId="0" borderId="70" xfId="72" applyFont="1" applyFill="1" applyBorder="1" applyAlignment="1" applyProtection="1">
      <alignment horizontal="center" vertical="center" wrapText="1"/>
      <protection/>
    </xf>
    <xf numFmtId="3" fontId="39" fillId="0" borderId="10" xfId="67" applyNumberFormat="1" applyFont="1" applyFill="1" applyBorder="1" applyAlignment="1" applyProtection="1">
      <alignment horizontal="right" vertical="center"/>
      <protection/>
    </xf>
    <xf numFmtId="0" fontId="43" fillId="0" borderId="10" xfId="67" applyFont="1" applyFill="1" applyBorder="1" applyAlignment="1" applyProtection="1">
      <alignment horizontal="center" vertical="center" wrapText="1"/>
      <protection/>
    </xf>
    <xf numFmtId="3" fontId="28" fillId="0" borderId="10" xfId="67" applyNumberFormat="1" applyFont="1" applyFill="1" applyBorder="1" applyAlignment="1" applyProtection="1">
      <alignment horizontal="right"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0" fontId="39" fillId="0" borderId="10" xfId="67" applyFont="1" applyFill="1" applyBorder="1" applyAlignment="1" applyProtection="1">
      <alignment horizontal="center" vertical="center" wrapText="1"/>
      <protection/>
    </xf>
    <xf numFmtId="3" fontId="11" fillId="33" borderId="10" xfId="66" applyNumberFormat="1" applyFont="1" applyFill="1" applyBorder="1" applyAlignment="1" applyProtection="1">
      <alignment vertical="center"/>
      <protection/>
    </xf>
    <xf numFmtId="0" fontId="27" fillId="0" borderId="10" xfId="67" applyFont="1" applyFill="1" applyBorder="1" applyAlignment="1" applyProtection="1">
      <alignment horizontal="center" vertical="center"/>
      <protection/>
    </xf>
    <xf numFmtId="0" fontId="41" fillId="0" borderId="10" xfId="67" applyFont="1" applyFill="1" applyBorder="1" applyAlignment="1" applyProtection="1">
      <alignment horizontal="center" vertical="center"/>
      <protection/>
    </xf>
    <xf numFmtId="49" fontId="27" fillId="0" borderId="10" xfId="67" applyNumberFormat="1" applyFont="1" applyFill="1" applyBorder="1" applyAlignment="1" applyProtection="1">
      <alignment horizontal="center" vertical="center"/>
      <protection/>
    </xf>
    <xf numFmtId="0" fontId="41" fillId="0" borderId="10" xfId="67" applyFont="1" applyFill="1" applyBorder="1" applyAlignment="1" applyProtection="1">
      <alignment horizontal="left" vertical="center" wrapText="1"/>
      <protection/>
    </xf>
    <xf numFmtId="0" fontId="27" fillId="0" borderId="10" xfId="67" applyFont="1" applyFill="1" applyBorder="1" applyAlignment="1" applyProtection="1">
      <alignment horizontal="center" vertical="center" wrapText="1"/>
      <protection/>
    </xf>
    <xf numFmtId="0" fontId="27" fillId="0" borderId="19" xfId="67" applyFont="1" applyFill="1" applyBorder="1" applyAlignment="1" applyProtection="1">
      <alignment horizontal="center" vertical="center" wrapText="1"/>
      <protection/>
    </xf>
    <xf numFmtId="0" fontId="27" fillId="0" borderId="29" xfId="67" applyFont="1" applyFill="1" applyBorder="1" applyAlignment="1" applyProtection="1">
      <alignment horizontal="center" vertical="center" wrapText="1"/>
      <protection/>
    </xf>
    <xf numFmtId="0" fontId="27" fillId="0" borderId="41" xfId="67" applyFont="1" applyFill="1" applyBorder="1" applyAlignment="1" applyProtection="1">
      <alignment horizontal="center" vertical="center" wrapText="1"/>
      <protection/>
    </xf>
    <xf numFmtId="49" fontId="27" fillId="0" borderId="19" xfId="67" applyNumberFormat="1" applyFont="1" applyFill="1" applyBorder="1" applyAlignment="1" applyProtection="1">
      <alignment horizontal="center" vertical="center" wrapText="1"/>
      <protection/>
    </xf>
    <xf numFmtId="49" fontId="27" fillId="0" borderId="29" xfId="67" applyNumberFormat="1" applyFont="1" applyFill="1" applyBorder="1" applyAlignment="1" applyProtection="1">
      <alignment horizontal="center" vertical="center" wrapText="1"/>
      <protection/>
    </xf>
    <xf numFmtId="49" fontId="27" fillId="0" borderId="41" xfId="67" applyNumberFormat="1" applyFont="1" applyFill="1" applyBorder="1" applyAlignment="1" applyProtection="1">
      <alignment horizontal="center" vertical="center" wrapText="1"/>
      <protection/>
    </xf>
    <xf numFmtId="0" fontId="13" fillId="34" borderId="15" xfId="67" applyFont="1" applyFill="1" applyBorder="1" applyAlignment="1" applyProtection="1">
      <alignment horizontal="center" vertical="center"/>
      <protection/>
    </xf>
    <xf numFmtId="0" fontId="13" fillId="34" borderId="46" xfId="67" applyFont="1" applyFill="1" applyBorder="1" applyAlignment="1" applyProtection="1">
      <alignment horizontal="center" vertical="center"/>
      <protection/>
    </xf>
    <xf numFmtId="0" fontId="13" fillId="34" borderId="13" xfId="67" applyFont="1" applyFill="1" applyBorder="1" applyAlignment="1" applyProtection="1">
      <alignment horizontal="center" vertical="center"/>
      <protection/>
    </xf>
    <xf numFmtId="3" fontId="7" fillId="0" borderId="10" xfId="66" applyNumberFormat="1" applyFont="1" applyBorder="1" applyAlignment="1" applyProtection="1">
      <alignment horizontal="right" vertical="center"/>
      <protection/>
    </xf>
    <xf numFmtId="0" fontId="7" fillId="0" borderId="10" xfId="66" applyFont="1" applyBorder="1" applyAlignment="1" applyProtection="1">
      <alignment horizontal="right" vertical="center"/>
      <protection/>
    </xf>
    <xf numFmtId="3" fontId="12" fillId="0" borderId="19" xfId="66" applyNumberFormat="1" applyFont="1" applyBorder="1" applyAlignment="1" applyProtection="1">
      <alignment vertical="center"/>
      <protection/>
    </xf>
    <xf numFmtId="3" fontId="12" fillId="0" borderId="29" xfId="66" applyNumberFormat="1" applyFont="1" applyBorder="1" applyAlignment="1" applyProtection="1">
      <alignment vertical="center"/>
      <protection/>
    </xf>
    <xf numFmtId="3" fontId="12" fillId="0" borderId="41" xfId="66" applyNumberFormat="1" applyFont="1" applyBorder="1" applyAlignment="1" applyProtection="1">
      <alignment vertical="center"/>
      <protection/>
    </xf>
    <xf numFmtId="0" fontId="20" fillId="0" borderId="10" xfId="67" applyFont="1" applyFill="1" applyBorder="1" applyAlignment="1" applyProtection="1">
      <alignment horizontal="center" vertical="center" wrapText="1"/>
      <protection/>
    </xf>
    <xf numFmtId="3" fontId="11" fillId="33" borderId="19" xfId="66" applyNumberFormat="1" applyFont="1" applyFill="1" applyBorder="1" applyAlignment="1" applyProtection="1">
      <alignment vertical="center"/>
      <protection/>
    </xf>
    <xf numFmtId="3" fontId="11" fillId="33" borderId="29" xfId="66" applyNumberFormat="1" applyFont="1" applyFill="1" applyBorder="1" applyAlignment="1" applyProtection="1">
      <alignment vertical="center"/>
      <protection/>
    </xf>
    <xf numFmtId="3" fontId="11" fillId="33" borderId="41" xfId="66" applyNumberFormat="1" applyFont="1" applyFill="1" applyBorder="1" applyAlignment="1" applyProtection="1">
      <alignment vertical="center"/>
      <protection/>
    </xf>
    <xf numFmtId="0" fontId="27" fillId="0" borderId="19" xfId="67" applyFont="1" applyFill="1" applyBorder="1" applyAlignment="1" applyProtection="1">
      <alignment horizontal="center" vertical="center"/>
      <protection/>
    </xf>
    <xf numFmtId="0" fontId="27" fillId="0" borderId="29" xfId="67" applyFont="1" applyFill="1" applyBorder="1" applyAlignment="1" applyProtection="1">
      <alignment horizontal="center" vertical="center"/>
      <protection/>
    </xf>
    <xf numFmtId="0" fontId="27" fillId="0" borderId="41" xfId="67" applyFont="1" applyFill="1" applyBorder="1" applyAlignment="1" applyProtection="1">
      <alignment horizontal="center" vertical="center"/>
      <protection/>
    </xf>
    <xf numFmtId="0" fontId="41" fillId="0" borderId="19" xfId="67" applyFont="1" applyFill="1" applyBorder="1" applyAlignment="1" applyProtection="1">
      <alignment horizontal="center" vertical="center"/>
      <protection/>
    </xf>
    <xf numFmtId="0" fontId="41" fillId="0" borderId="29" xfId="67" applyFont="1" applyFill="1" applyBorder="1" applyAlignment="1" applyProtection="1">
      <alignment horizontal="center" vertical="center"/>
      <protection/>
    </xf>
    <xf numFmtId="0" fontId="41" fillId="0" borderId="41" xfId="67" applyFont="1" applyFill="1" applyBorder="1" applyAlignment="1" applyProtection="1">
      <alignment horizontal="center" vertical="center"/>
      <protection/>
    </xf>
    <xf numFmtId="0" fontId="41" fillId="0" borderId="19" xfId="67" applyFont="1" applyFill="1" applyBorder="1" applyAlignment="1" applyProtection="1">
      <alignment horizontal="left" vertical="center" wrapText="1"/>
      <protection/>
    </xf>
    <xf numFmtId="0" fontId="41" fillId="0" borderId="29" xfId="67" applyFont="1" applyFill="1" applyBorder="1" applyAlignment="1" applyProtection="1">
      <alignment horizontal="left" vertical="center" wrapText="1"/>
      <protection/>
    </xf>
    <xf numFmtId="0" fontId="41" fillId="0" borderId="41" xfId="67" applyFont="1" applyFill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vertical="center"/>
      <protection/>
    </xf>
    <xf numFmtId="0" fontId="21" fillId="0" borderId="10" xfId="66" applyBorder="1" applyAlignment="1" applyProtection="1">
      <alignment horizontal="center"/>
      <protection/>
    </xf>
    <xf numFmtId="0" fontId="27" fillId="0" borderId="19" xfId="67" applyFont="1" applyFill="1" applyBorder="1" applyAlignment="1" applyProtection="1">
      <alignment horizontal="left" vertical="center" wrapText="1"/>
      <protection/>
    </xf>
    <xf numFmtId="0" fontId="27" fillId="0" borderId="29" xfId="67" applyFont="1" applyFill="1" applyBorder="1" applyAlignment="1" applyProtection="1">
      <alignment horizontal="left" vertical="center" wrapText="1"/>
      <protection/>
    </xf>
    <xf numFmtId="0" fontId="27" fillId="0" borderId="41" xfId="67" applyFont="1" applyFill="1" applyBorder="1" applyAlignment="1" applyProtection="1">
      <alignment horizontal="left" vertical="center" wrapText="1"/>
      <protection/>
    </xf>
    <xf numFmtId="0" fontId="27" fillId="0" borderId="10" xfId="67" applyFont="1" applyFill="1" applyBorder="1" applyAlignment="1" applyProtection="1">
      <alignment horizontal="left" vertical="center" wrapText="1"/>
      <protection/>
    </xf>
    <xf numFmtId="49" fontId="27" fillId="0" borderId="19" xfId="67" applyNumberFormat="1" applyFont="1" applyFill="1" applyBorder="1" applyAlignment="1" applyProtection="1">
      <alignment horizontal="center" vertical="center"/>
      <protection/>
    </xf>
    <xf numFmtId="49" fontId="27" fillId="0" borderId="29" xfId="67" applyNumberFormat="1" applyFont="1" applyFill="1" applyBorder="1" applyAlignment="1" applyProtection="1">
      <alignment horizontal="center" vertical="center"/>
      <protection/>
    </xf>
    <xf numFmtId="49" fontId="27" fillId="0" borderId="41" xfId="67" applyNumberFormat="1" applyFont="1" applyFill="1" applyBorder="1" applyAlignment="1" applyProtection="1">
      <alignment horizontal="center" vertical="center"/>
      <protection/>
    </xf>
    <xf numFmtId="0" fontId="13" fillId="0" borderId="10" xfId="67" applyFont="1" applyFill="1" applyBorder="1" applyAlignment="1" applyProtection="1">
      <alignment horizontal="center"/>
      <protection/>
    </xf>
    <xf numFmtId="0" fontId="28" fillId="0" borderId="10" xfId="67" applyFont="1" applyFill="1" applyBorder="1" applyAlignment="1" applyProtection="1">
      <alignment horizontal="center" vertical="center"/>
      <protection/>
    </xf>
    <xf numFmtId="0" fontId="40" fillId="0" borderId="10" xfId="67" applyFont="1" applyFill="1" applyBorder="1" applyAlignment="1" applyProtection="1">
      <alignment horizontal="center"/>
      <protection/>
    </xf>
    <xf numFmtId="0" fontId="13" fillId="5" borderId="10" xfId="67" applyFont="1" applyFill="1" applyBorder="1" applyAlignment="1" applyProtection="1">
      <alignment horizontal="center"/>
      <protection/>
    </xf>
    <xf numFmtId="0" fontId="38" fillId="0" borderId="10" xfId="67" applyFont="1" applyFill="1" applyBorder="1" applyAlignment="1" applyProtection="1">
      <alignment horizontal="center" vertical="center"/>
      <protection/>
    </xf>
    <xf numFmtId="0" fontId="37" fillId="0" borderId="19" xfId="67" applyFont="1" applyFill="1" applyBorder="1" applyAlignment="1" applyProtection="1">
      <alignment horizontal="center" vertical="center" wrapText="1"/>
      <protection/>
    </xf>
    <xf numFmtId="0" fontId="37" fillId="0" borderId="29" xfId="67" applyFont="1" applyFill="1" applyBorder="1" applyAlignment="1" applyProtection="1">
      <alignment horizontal="center" vertical="center" wrapText="1"/>
      <protection/>
    </xf>
    <xf numFmtId="0" fontId="37" fillId="0" borderId="41" xfId="67" applyFont="1" applyFill="1" applyBorder="1" applyAlignment="1" applyProtection="1">
      <alignment horizontal="center" vertical="center" wrapText="1"/>
      <protection/>
    </xf>
    <xf numFmtId="0" fontId="38" fillId="0" borderId="19" xfId="67" applyFont="1" applyFill="1" applyBorder="1" applyAlignment="1" applyProtection="1">
      <alignment horizontal="center" vertical="center" wrapText="1"/>
      <protection/>
    </xf>
    <xf numFmtId="0" fontId="38" fillId="0" borderId="29" xfId="67" applyFont="1" applyFill="1" applyBorder="1" applyAlignment="1" applyProtection="1">
      <alignment horizontal="center" vertical="center" wrapText="1"/>
      <protection/>
    </xf>
    <xf numFmtId="0" fontId="38" fillId="0" borderId="41" xfId="67" applyFont="1" applyFill="1" applyBorder="1" applyAlignment="1" applyProtection="1">
      <alignment horizontal="center" vertical="center" wrapText="1"/>
      <protection/>
    </xf>
    <xf numFmtId="0" fontId="38" fillId="0" borderId="10" xfId="67" applyFont="1" applyFill="1" applyBorder="1" applyAlignment="1" applyProtection="1">
      <alignment horizontal="center" vertical="center" wrapText="1"/>
      <protection/>
    </xf>
    <xf numFmtId="0" fontId="37" fillId="0" borderId="10" xfId="67" applyFont="1" applyFill="1" applyBorder="1" applyAlignment="1" applyProtection="1">
      <alignment horizontal="center" vertical="center" wrapText="1"/>
      <protection/>
    </xf>
    <xf numFmtId="0" fontId="28" fillId="0" borderId="10" xfId="67" applyFont="1" applyFill="1" applyBorder="1" applyAlignment="1" applyProtection="1">
      <alignment horizontal="center" vertical="center" wrapText="1"/>
      <protection/>
    </xf>
    <xf numFmtId="0" fontId="38" fillId="0" borderId="10" xfId="67" applyFont="1" applyFill="1" applyBorder="1" applyAlignment="1" applyProtection="1">
      <alignment horizontal="center" vertical="center"/>
      <protection/>
    </xf>
    <xf numFmtId="0" fontId="36" fillId="0" borderId="0" xfId="67" applyNumberFormat="1" applyFont="1" applyFill="1" applyAlignment="1" applyProtection="1">
      <alignment horizontal="center" vertical="center" wrapText="1"/>
      <protection/>
    </xf>
    <xf numFmtId="0" fontId="28" fillId="0" borderId="19" xfId="67" applyFont="1" applyFill="1" applyBorder="1" applyAlignment="1" applyProtection="1">
      <alignment horizontal="center" vertical="center"/>
      <protection/>
    </xf>
    <xf numFmtId="0" fontId="28" fillId="0" borderId="29" xfId="67" applyFont="1" applyFill="1" applyBorder="1" applyAlignment="1" applyProtection="1">
      <alignment horizontal="center" vertical="center"/>
      <protection/>
    </xf>
    <xf numFmtId="0" fontId="28" fillId="0" borderId="41" xfId="67" applyFont="1" applyFill="1" applyBorder="1" applyAlignment="1" applyProtection="1">
      <alignment horizontal="center" vertical="center"/>
      <protection/>
    </xf>
    <xf numFmtId="0" fontId="39" fillId="0" borderId="10" xfId="67" applyFont="1" applyFill="1" applyBorder="1" applyAlignment="1" applyProtection="1">
      <alignment horizontal="center" vertical="center"/>
      <protection/>
    </xf>
    <xf numFmtId="3" fontId="7" fillId="0" borderId="10" xfId="64" applyNumberFormat="1" applyFont="1" applyBorder="1" applyAlignment="1" applyProtection="1">
      <alignment vertical="center"/>
      <protection/>
    </xf>
    <xf numFmtId="0" fontId="23" fillId="0" borderId="59" xfId="67" applyFont="1" applyFill="1" applyBorder="1" applyAlignment="1" applyProtection="1">
      <alignment horizontal="center" vertical="center" wrapText="1"/>
      <protection/>
    </xf>
    <xf numFmtId="0" fontId="23" fillId="0" borderId="18" xfId="67" applyFont="1" applyFill="1" applyBorder="1" applyAlignment="1" applyProtection="1">
      <alignment horizontal="center" vertical="center" wrapText="1"/>
      <protection/>
    </xf>
    <xf numFmtId="0" fontId="23" fillId="0" borderId="61" xfId="67" applyFont="1" applyFill="1" applyBorder="1" applyAlignment="1" applyProtection="1">
      <alignment horizontal="center" vertical="center" wrapText="1"/>
      <protection/>
    </xf>
    <xf numFmtId="0" fontId="23" fillId="0" borderId="58" xfId="67" applyFont="1" applyFill="1" applyBorder="1" applyAlignment="1" applyProtection="1">
      <alignment horizontal="center" vertical="center" wrapText="1"/>
      <protection/>
    </xf>
    <xf numFmtId="0" fontId="23" fillId="0" borderId="0" xfId="67" applyFont="1" applyFill="1" applyBorder="1" applyAlignment="1" applyProtection="1">
      <alignment horizontal="center" vertical="center" wrapText="1"/>
      <protection/>
    </xf>
    <xf numFmtId="0" fontId="23" fillId="0" borderId="30" xfId="67" applyFont="1" applyFill="1" applyBorder="1" applyAlignment="1" applyProtection="1">
      <alignment horizontal="center" vertical="center" wrapText="1"/>
      <protection/>
    </xf>
    <xf numFmtId="0" fontId="23" fillId="0" borderId="40" xfId="67" applyFont="1" applyFill="1" applyBorder="1" applyAlignment="1" applyProtection="1">
      <alignment horizontal="center" vertical="center" wrapText="1"/>
      <protection/>
    </xf>
    <xf numFmtId="0" fontId="23" fillId="0" borderId="42" xfId="67" applyFont="1" applyFill="1" applyBorder="1" applyAlignment="1" applyProtection="1">
      <alignment horizontal="center" vertical="center" wrapText="1"/>
      <protection/>
    </xf>
    <xf numFmtId="0" fontId="23" fillId="0" borderId="43" xfId="67" applyFont="1" applyFill="1" applyBorder="1" applyAlignment="1" applyProtection="1">
      <alignment horizontal="center" vertical="center" wrapText="1"/>
      <protection/>
    </xf>
    <xf numFmtId="3" fontId="11" fillId="33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0" fontId="4" fillId="0" borderId="19" xfId="70" applyFont="1" applyFill="1" applyBorder="1" applyAlignment="1" applyProtection="1">
      <alignment horizontal="left" vertical="center" wrapText="1"/>
      <protection/>
    </xf>
    <xf numFmtId="0" fontId="4" fillId="0" borderId="29" xfId="70" applyFont="1" applyFill="1" applyBorder="1" applyAlignment="1" applyProtection="1">
      <alignment horizontal="left" vertical="center" wrapText="1"/>
      <protection/>
    </xf>
    <xf numFmtId="0" fontId="4" fillId="0" borderId="41" xfId="70" applyFont="1" applyFill="1" applyBorder="1" applyAlignment="1" applyProtection="1">
      <alignment horizontal="left" vertical="center" wrapText="1"/>
      <protection/>
    </xf>
    <xf numFmtId="49" fontId="27" fillId="0" borderId="10" xfId="67" applyNumberFormat="1" applyFont="1" applyFill="1" applyBorder="1" applyAlignment="1" applyProtection="1">
      <alignment horizontal="center" vertical="center" wrapText="1"/>
      <protection/>
    </xf>
    <xf numFmtId="0" fontId="4" fillId="0" borderId="19" xfId="70" applyFont="1" applyBorder="1" applyAlignment="1" applyProtection="1">
      <alignment horizontal="left" vertical="center" wrapText="1"/>
      <protection/>
    </xf>
    <xf numFmtId="0" fontId="4" fillId="0" borderId="29" xfId="70" applyFont="1" applyBorder="1" applyAlignment="1" applyProtection="1">
      <alignment horizontal="left" vertical="center" wrapText="1"/>
      <protection/>
    </xf>
    <xf numFmtId="0" fontId="4" fillId="0" borderId="41" xfId="70" applyFont="1" applyBorder="1" applyAlignment="1" applyProtection="1">
      <alignment horizontal="lef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36" fillId="0" borderId="0" xfId="67" applyNumberFormat="1" applyFont="1" applyFill="1" applyAlignment="1" applyProtection="1">
      <alignment horizontal="center" wrapText="1"/>
      <protection/>
    </xf>
    <xf numFmtId="0" fontId="28" fillId="0" borderId="54" xfId="0" applyFont="1" applyFill="1" applyBorder="1" applyAlignment="1" applyProtection="1">
      <alignment/>
      <protection/>
    </xf>
    <xf numFmtId="0" fontId="28" fillId="0" borderId="29" xfId="0" applyFont="1" applyFill="1" applyBorder="1" applyAlignment="1" applyProtection="1">
      <alignment/>
      <protection/>
    </xf>
    <xf numFmtId="0" fontId="28" fillId="0" borderId="31" xfId="0" applyFont="1" applyFill="1" applyBorder="1" applyAlignment="1" applyProtection="1">
      <alignment/>
      <protection/>
    </xf>
    <xf numFmtId="3" fontId="28" fillId="0" borderId="54" xfId="0" applyNumberFormat="1" applyFont="1" applyFill="1" applyBorder="1" applyAlignment="1" applyProtection="1">
      <alignment horizontal="center" vertical="center"/>
      <protection/>
    </xf>
    <xf numFmtId="3" fontId="28" fillId="0" borderId="29" xfId="0" applyNumberFormat="1" applyFont="1" applyFill="1" applyBorder="1" applyAlignment="1" applyProtection="1">
      <alignment horizontal="center" vertical="center"/>
      <protection/>
    </xf>
    <xf numFmtId="3" fontId="28" fillId="0" borderId="31" xfId="0" applyNumberFormat="1" applyFont="1" applyFill="1" applyBorder="1" applyAlignment="1" applyProtection="1">
      <alignment horizontal="center" vertical="center"/>
      <protection/>
    </xf>
    <xf numFmtId="0" fontId="39" fillId="0" borderId="23" xfId="0" applyFont="1" applyFill="1" applyBorder="1" applyAlignment="1" applyProtection="1">
      <alignment horizontal="left" vertical="center"/>
      <protection/>
    </xf>
    <xf numFmtId="0" fontId="39" fillId="0" borderId="26" xfId="0" applyFont="1" applyFill="1" applyBorder="1" applyAlignment="1" applyProtection="1">
      <alignment horizontal="left" vertical="center"/>
      <protection/>
    </xf>
    <xf numFmtId="0" fontId="28" fillId="0" borderId="54" xfId="0" applyFont="1" applyFill="1" applyBorder="1" applyAlignment="1" applyProtection="1">
      <alignment horizontal="center"/>
      <protection/>
    </xf>
    <xf numFmtId="0" fontId="28" fillId="0" borderId="29" xfId="0" applyFont="1" applyFill="1" applyBorder="1" applyAlignment="1" applyProtection="1">
      <alignment horizontal="center"/>
      <protection/>
    </xf>
    <xf numFmtId="0" fontId="28" fillId="0" borderId="31" xfId="0" applyFont="1" applyFill="1" applyBorder="1" applyAlignment="1" applyProtection="1">
      <alignment horizontal="center"/>
      <protection/>
    </xf>
    <xf numFmtId="0" fontId="39" fillId="0" borderId="53" xfId="0" applyFont="1" applyFill="1" applyBorder="1" applyAlignment="1" applyProtection="1">
      <alignment horizontal="center" vertical="center" wrapText="1"/>
      <protection/>
    </xf>
    <xf numFmtId="0" fontId="39" fillId="0" borderId="23" xfId="0" applyFont="1" applyFill="1" applyBorder="1" applyAlignment="1" applyProtection="1">
      <alignment horizontal="center" vertical="center" wrapText="1"/>
      <protection/>
    </xf>
    <xf numFmtId="0" fontId="27" fillId="0" borderId="54" xfId="0" applyFont="1" applyFill="1" applyBorder="1" applyAlignment="1" applyProtection="1">
      <alignment horizontal="center"/>
      <protection/>
    </xf>
    <xf numFmtId="0" fontId="27" fillId="0" borderId="29" xfId="0" applyFont="1" applyFill="1" applyBorder="1" applyAlignment="1" applyProtection="1">
      <alignment horizontal="center"/>
      <protection/>
    </xf>
    <xf numFmtId="0" fontId="27" fillId="0" borderId="31" xfId="0" applyFont="1" applyFill="1" applyBorder="1" applyAlignment="1" applyProtection="1">
      <alignment horizontal="center"/>
      <protection/>
    </xf>
    <xf numFmtId="3" fontId="27" fillId="0" borderId="54" xfId="0" applyNumberFormat="1" applyFont="1" applyFill="1" applyBorder="1" applyAlignment="1" applyProtection="1">
      <alignment horizontal="center" vertical="center"/>
      <protection/>
    </xf>
    <xf numFmtId="3" fontId="27" fillId="0" borderId="29" xfId="0" applyNumberFormat="1" applyFont="1" applyFill="1" applyBorder="1" applyAlignment="1" applyProtection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left" vertical="center"/>
      <protection/>
    </xf>
    <xf numFmtId="0" fontId="28" fillId="0" borderId="46" xfId="0" applyFont="1" applyFill="1" applyBorder="1" applyAlignment="1" applyProtection="1">
      <alignment horizontal="left" vertical="center"/>
      <protection/>
    </xf>
    <xf numFmtId="0" fontId="28" fillId="0" borderId="58" xfId="0" applyFont="1" applyFill="1" applyBorder="1" applyAlignment="1" applyProtection="1">
      <alignment horizontal="center" vertical="center" wrapText="1"/>
      <protection/>
    </xf>
    <xf numFmtId="0" fontId="28" fillId="0" borderId="41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28" fillId="0" borderId="46" xfId="0" applyFont="1" applyFill="1" applyBorder="1" applyAlignment="1" applyProtection="1">
      <alignment horizontal="center" vertical="center"/>
      <protection/>
    </xf>
    <xf numFmtId="49" fontId="51" fillId="0" borderId="58" xfId="71" applyNumberFormat="1" applyFont="1" applyFill="1" applyBorder="1" applyAlignment="1" applyProtection="1">
      <alignment horizontal="center" vertical="top"/>
      <protection/>
    </xf>
    <xf numFmtId="49" fontId="51" fillId="0" borderId="30" xfId="71" applyNumberFormat="1" applyFont="1" applyFill="1" applyBorder="1" applyAlignment="1" applyProtection="1">
      <alignment horizontal="center" vertical="top"/>
      <protection/>
    </xf>
    <xf numFmtId="49" fontId="51" fillId="0" borderId="40" xfId="71" applyNumberFormat="1" applyFont="1" applyFill="1" applyBorder="1" applyAlignment="1" applyProtection="1">
      <alignment horizontal="center" vertical="top"/>
      <protection/>
    </xf>
    <xf numFmtId="49" fontId="51" fillId="0" borderId="43" xfId="71" applyNumberFormat="1" applyFont="1" applyFill="1" applyBorder="1" applyAlignment="1" applyProtection="1">
      <alignment horizontal="center" vertical="top"/>
      <protection/>
    </xf>
    <xf numFmtId="0" fontId="51" fillId="0" borderId="15" xfId="71" applyFont="1" applyFill="1" applyBorder="1" applyAlignment="1" applyProtection="1">
      <alignment horizontal="left" vertical="top" wrapText="1"/>
      <protection/>
    </xf>
    <xf numFmtId="0" fontId="51" fillId="0" borderId="13" xfId="71" applyFont="1" applyFill="1" applyBorder="1" applyAlignment="1" applyProtection="1">
      <alignment horizontal="left" vertical="top" wrapText="1"/>
      <protection/>
    </xf>
    <xf numFmtId="0" fontId="45" fillId="0" borderId="24" xfId="71" applyFont="1" applyFill="1" applyBorder="1" applyAlignment="1" applyProtection="1">
      <alignment horizontal="center" vertical="center" wrapText="1"/>
      <protection/>
    </xf>
    <xf numFmtId="0" fontId="45" fillId="0" borderId="22" xfId="71" applyFont="1" applyFill="1" applyBorder="1" applyAlignment="1" applyProtection="1">
      <alignment horizontal="center" vertical="center" wrapText="1"/>
      <protection/>
    </xf>
    <xf numFmtId="0" fontId="45" fillId="0" borderId="25" xfId="71" applyFont="1" applyFill="1" applyBorder="1" applyAlignment="1" applyProtection="1">
      <alignment horizontal="center" vertical="center" wrapText="1"/>
      <protection/>
    </xf>
    <xf numFmtId="49" fontId="51" fillId="0" borderId="59" xfId="71" applyNumberFormat="1" applyFont="1" applyFill="1" applyBorder="1" applyAlignment="1" applyProtection="1">
      <alignment horizontal="center" vertical="center"/>
      <protection/>
    </xf>
    <xf numFmtId="49" fontId="51" fillId="0" borderId="61" xfId="71" applyNumberFormat="1" applyFont="1" applyFill="1" applyBorder="1" applyAlignment="1" applyProtection="1">
      <alignment horizontal="center" vertical="center"/>
      <protection/>
    </xf>
    <xf numFmtId="49" fontId="51" fillId="0" borderId="59" xfId="71" applyNumberFormat="1" applyFont="1" applyFill="1" applyBorder="1" applyAlignment="1" applyProtection="1">
      <alignment horizontal="center" vertical="center"/>
      <protection/>
    </xf>
    <xf numFmtId="49" fontId="51" fillId="0" borderId="61" xfId="71" applyNumberFormat="1" applyFont="1" applyFill="1" applyBorder="1" applyAlignment="1" applyProtection="1">
      <alignment horizontal="center" vertical="center"/>
      <protection/>
    </xf>
    <xf numFmtId="0" fontId="51" fillId="0" borderId="15" xfId="71" applyFont="1" applyFill="1" applyBorder="1" applyAlignment="1" applyProtection="1">
      <alignment horizontal="left" vertical="center" wrapText="1"/>
      <protection/>
    </xf>
    <xf numFmtId="0" fontId="51" fillId="0" borderId="13" xfId="71" applyFont="1" applyFill="1" applyBorder="1" applyAlignment="1" applyProtection="1">
      <alignment horizontal="left" vertical="center" wrapText="1"/>
      <protection/>
    </xf>
    <xf numFmtId="49" fontId="51" fillId="0" borderId="58" xfId="71" applyNumberFormat="1" applyFont="1" applyFill="1" applyBorder="1" applyAlignment="1" applyProtection="1">
      <alignment horizontal="center" vertical="center"/>
      <protection/>
    </xf>
    <xf numFmtId="49" fontId="51" fillId="0" borderId="30" xfId="71" applyNumberFormat="1" applyFont="1" applyFill="1" applyBorder="1" applyAlignment="1" applyProtection="1">
      <alignment horizontal="center" vertical="center"/>
      <protection/>
    </xf>
    <xf numFmtId="49" fontId="51" fillId="0" borderId="58" xfId="71" applyNumberFormat="1" applyFont="1" applyFill="1" applyBorder="1" applyAlignment="1" applyProtection="1">
      <alignment horizontal="center" vertical="center"/>
      <protection/>
    </xf>
    <xf numFmtId="49" fontId="51" fillId="0" borderId="30" xfId="71" applyNumberFormat="1" applyFont="1" applyFill="1" applyBorder="1" applyAlignment="1" applyProtection="1">
      <alignment horizontal="center" vertical="center"/>
      <protection/>
    </xf>
    <xf numFmtId="49" fontId="51" fillId="0" borderId="58" xfId="71" applyNumberFormat="1" applyFont="1" applyFill="1" applyBorder="1" applyAlignment="1" applyProtection="1">
      <alignment horizontal="center" vertical="top"/>
      <protection/>
    </xf>
    <xf numFmtId="49" fontId="51" fillId="0" borderId="30" xfId="71" applyNumberFormat="1" applyFont="1" applyFill="1" applyBorder="1" applyAlignment="1" applyProtection="1">
      <alignment horizontal="center" vertical="top"/>
      <protection/>
    </xf>
    <xf numFmtId="49" fontId="51" fillId="0" borderId="40" xfId="71" applyNumberFormat="1" applyFont="1" applyFill="1" applyBorder="1" applyAlignment="1" applyProtection="1">
      <alignment horizontal="center" vertical="top"/>
      <protection/>
    </xf>
    <xf numFmtId="49" fontId="51" fillId="0" borderId="43" xfId="71" applyNumberFormat="1" applyFont="1" applyFill="1" applyBorder="1" applyAlignment="1" applyProtection="1">
      <alignment horizontal="center" vertical="top"/>
      <protection/>
    </xf>
    <xf numFmtId="49" fontId="51" fillId="0" borderId="15" xfId="71" applyNumberFormat="1" applyFont="1" applyFill="1" applyBorder="1" applyAlignment="1" applyProtection="1">
      <alignment horizontal="center" vertical="center"/>
      <protection/>
    </xf>
    <xf numFmtId="49" fontId="51" fillId="0" borderId="13" xfId="71" applyNumberFormat="1" applyFont="1" applyFill="1" applyBorder="1" applyAlignment="1" applyProtection="1">
      <alignment horizontal="center" vertical="center"/>
      <protection/>
    </xf>
    <xf numFmtId="0" fontId="51" fillId="0" borderId="15" xfId="71" applyFont="1" applyFill="1" applyBorder="1" applyAlignment="1" applyProtection="1">
      <alignment horizontal="left" vertical="center" wrapText="1"/>
      <protection/>
    </xf>
    <xf numFmtId="49" fontId="51" fillId="0" borderId="59" xfId="71" applyNumberFormat="1" applyFont="1" applyFill="1" applyBorder="1" applyAlignment="1" applyProtection="1">
      <alignment horizontal="center" vertical="top"/>
      <protection/>
    </xf>
    <xf numFmtId="49" fontId="51" fillId="0" borderId="61" xfId="71" applyNumberFormat="1" applyFont="1" applyFill="1" applyBorder="1" applyAlignment="1" applyProtection="1">
      <alignment horizontal="center" vertical="top"/>
      <protection/>
    </xf>
    <xf numFmtId="0" fontId="51" fillId="0" borderId="15" xfId="71" applyFont="1" applyFill="1" applyBorder="1" applyAlignment="1" applyProtection="1">
      <alignment horizontal="left" vertical="top" wrapText="1"/>
      <protection/>
    </xf>
    <xf numFmtId="49" fontId="51" fillId="0" borderId="59" xfId="71" applyNumberFormat="1" applyFont="1" applyFill="1" applyBorder="1" applyAlignment="1" applyProtection="1">
      <alignment horizontal="center" vertical="top"/>
      <protection/>
    </xf>
    <xf numFmtId="49" fontId="51" fillId="0" borderId="61" xfId="71" applyNumberFormat="1" applyFont="1" applyFill="1" applyBorder="1" applyAlignment="1" applyProtection="1">
      <alignment horizontal="center" vertical="top"/>
      <protection/>
    </xf>
    <xf numFmtId="49" fontId="51" fillId="0" borderId="15" xfId="71" applyNumberFormat="1" applyFont="1" applyFill="1" applyBorder="1" applyAlignment="1" applyProtection="1">
      <alignment horizontal="center" vertical="center"/>
      <protection/>
    </xf>
    <xf numFmtId="49" fontId="51" fillId="0" borderId="13" xfId="71" applyNumberFormat="1" applyFont="1" applyFill="1" applyBorder="1" applyAlignment="1" applyProtection="1">
      <alignment horizontal="center" vertical="center"/>
      <protection/>
    </xf>
    <xf numFmtId="49" fontId="51" fillId="0" borderId="40" xfId="71" applyNumberFormat="1" applyFont="1" applyFill="1" applyBorder="1" applyAlignment="1" applyProtection="1">
      <alignment horizontal="center" vertical="center"/>
      <protection/>
    </xf>
    <xf numFmtId="49" fontId="51" fillId="0" borderId="43" xfId="71" applyNumberFormat="1" applyFont="1" applyFill="1" applyBorder="1" applyAlignment="1" applyProtection="1">
      <alignment horizontal="center" vertical="center"/>
      <protection/>
    </xf>
    <xf numFmtId="49" fontId="51" fillId="0" borderId="40" xfId="71" applyNumberFormat="1" applyFont="1" applyFill="1" applyBorder="1" applyAlignment="1" applyProtection="1">
      <alignment horizontal="center" vertical="center"/>
      <protection/>
    </xf>
    <xf numFmtId="49" fontId="51" fillId="0" borderId="43" xfId="71" applyNumberFormat="1" applyFont="1" applyFill="1" applyBorder="1" applyAlignment="1" applyProtection="1">
      <alignment horizontal="center" vertical="center"/>
      <protection/>
    </xf>
    <xf numFmtId="49" fontId="51" fillId="0" borderId="15" xfId="71" applyNumberFormat="1" applyFont="1" applyFill="1" applyBorder="1" applyAlignment="1" applyProtection="1">
      <alignment horizontal="center" vertical="top"/>
      <protection/>
    </xf>
    <xf numFmtId="49" fontId="51" fillId="0" borderId="13" xfId="71" applyNumberFormat="1" applyFont="1" applyFill="1" applyBorder="1" applyAlignment="1" applyProtection="1">
      <alignment horizontal="center" vertical="top"/>
      <protection/>
    </xf>
    <xf numFmtId="0" fontId="51" fillId="0" borderId="13" xfId="71" applyFont="1" applyFill="1" applyBorder="1" applyAlignment="1" applyProtection="1">
      <alignment horizontal="left" vertical="top" wrapText="1"/>
      <protection/>
    </xf>
    <xf numFmtId="49" fontId="56" fillId="0" borderId="15" xfId="71" applyNumberFormat="1" applyFont="1" applyFill="1" applyBorder="1" applyAlignment="1" applyProtection="1">
      <alignment horizontal="left" vertical="center"/>
      <protection/>
    </xf>
    <xf numFmtId="49" fontId="56" fillId="0" borderId="46" xfId="71" applyNumberFormat="1" applyFont="1" applyFill="1" applyBorder="1" applyAlignment="1" applyProtection="1">
      <alignment horizontal="left" vertical="center"/>
      <protection/>
    </xf>
    <xf numFmtId="49" fontId="56" fillId="0" borderId="13" xfId="71" applyNumberFormat="1" applyFont="1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top" wrapText="1"/>
      <protection/>
    </xf>
    <xf numFmtId="49" fontId="52" fillId="0" borderId="15" xfId="71" applyNumberFormat="1" applyFont="1" applyFill="1" applyBorder="1" applyAlignment="1" applyProtection="1">
      <alignment horizontal="left" vertical="center"/>
      <protection/>
    </xf>
    <xf numFmtId="49" fontId="52" fillId="0" borderId="46" xfId="71" applyNumberFormat="1" applyFont="1" applyFill="1" applyBorder="1" applyAlignment="1" applyProtection="1">
      <alignment horizontal="left" vertical="center"/>
      <protection/>
    </xf>
    <xf numFmtId="49" fontId="52" fillId="0" borderId="13" xfId="71" applyNumberFormat="1" applyFont="1" applyFill="1" applyBorder="1" applyAlignment="1" applyProtection="1">
      <alignment horizontal="left" vertical="center"/>
      <protection/>
    </xf>
    <xf numFmtId="0" fontId="45" fillId="0" borderId="24" xfId="71" applyFont="1" applyFill="1" applyBorder="1" applyAlignment="1" applyProtection="1">
      <alignment horizontal="left" vertical="center"/>
      <protection/>
    </xf>
    <xf numFmtId="0" fontId="45" fillId="0" borderId="22" xfId="71" applyFont="1" applyFill="1" applyBorder="1" applyAlignment="1" applyProtection="1">
      <alignment horizontal="left" vertical="center"/>
      <protection/>
    </xf>
    <xf numFmtId="49" fontId="54" fillId="0" borderId="59" xfId="71" applyNumberFormat="1" applyFont="1" applyFill="1" applyBorder="1" applyAlignment="1" applyProtection="1">
      <alignment horizontal="center" vertical="center"/>
      <protection/>
    </xf>
    <xf numFmtId="49" fontId="54" fillId="0" borderId="61" xfId="71" applyNumberFormat="1" applyFont="1" applyFill="1" applyBorder="1" applyAlignment="1" applyProtection="1">
      <alignment horizontal="center" vertical="center"/>
      <protection/>
    </xf>
    <xf numFmtId="49" fontId="54" fillId="0" borderId="15" xfId="71" applyNumberFormat="1" applyFont="1" applyFill="1" applyBorder="1" applyAlignment="1" applyProtection="1">
      <alignment horizontal="center" vertical="center"/>
      <protection/>
    </xf>
    <xf numFmtId="49" fontId="54" fillId="0" borderId="13" xfId="71" applyNumberFormat="1" applyFont="1" applyFill="1" applyBorder="1" applyAlignment="1" applyProtection="1">
      <alignment horizontal="center" vertical="center"/>
      <protection/>
    </xf>
    <xf numFmtId="0" fontId="54" fillId="0" borderId="15" xfId="71" applyFont="1" applyFill="1" applyBorder="1" applyAlignment="1" applyProtection="1">
      <alignment horizontal="left" vertical="center" wrapText="1"/>
      <protection/>
    </xf>
    <xf numFmtId="0" fontId="54" fillId="0" borderId="13" xfId="71" applyFont="1" applyFill="1" applyBorder="1" applyAlignment="1" applyProtection="1">
      <alignment horizontal="left" vertical="center" wrapText="1"/>
      <protection/>
    </xf>
    <xf numFmtId="49" fontId="55" fillId="0" borderId="58" xfId="71" applyNumberFormat="1" applyFont="1" applyFill="1" applyBorder="1" applyAlignment="1" applyProtection="1">
      <alignment horizontal="center" vertical="center"/>
      <protection/>
    </xf>
    <xf numFmtId="49" fontId="55" fillId="0" borderId="30" xfId="71" applyNumberFormat="1" applyFont="1" applyFill="1" applyBorder="1" applyAlignment="1" applyProtection="1">
      <alignment horizontal="center" vertical="center"/>
      <protection/>
    </xf>
    <xf numFmtId="49" fontId="55" fillId="0" borderId="58" xfId="71" applyNumberFormat="1" applyFont="1" applyFill="1" applyBorder="1" applyAlignment="1" applyProtection="1">
      <alignment horizontal="center" vertical="center"/>
      <protection/>
    </xf>
    <xf numFmtId="49" fontId="55" fillId="0" borderId="30" xfId="71" applyNumberFormat="1" applyFont="1" applyFill="1" applyBorder="1" applyAlignment="1" applyProtection="1">
      <alignment horizontal="center" vertical="center"/>
      <protection/>
    </xf>
    <xf numFmtId="0" fontId="55" fillId="0" borderId="15" xfId="71" applyFont="1" applyFill="1" applyBorder="1" applyAlignment="1" applyProtection="1">
      <alignment horizontal="left" vertical="center" wrapText="1"/>
      <protection/>
    </xf>
    <xf numFmtId="0" fontId="55" fillId="0" borderId="13" xfId="71" applyFont="1" applyFill="1" applyBorder="1" applyAlignment="1" applyProtection="1">
      <alignment horizontal="left" vertical="center" wrapText="1"/>
      <protection/>
    </xf>
    <xf numFmtId="3" fontId="30" fillId="0" borderId="19" xfId="71" applyNumberFormat="1" applyFont="1" applyFill="1" applyBorder="1" applyAlignment="1" applyProtection="1">
      <alignment horizontal="center" vertical="top" wrapText="1"/>
      <protection/>
    </xf>
    <xf numFmtId="3" fontId="30" fillId="0" borderId="41" xfId="71" applyNumberFormat="1" applyFont="1" applyFill="1" applyBorder="1" applyAlignment="1" applyProtection="1">
      <alignment horizontal="center" vertical="top" wrapText="1"/>
      <protection/>
    </xf>
    <xf numFmtId="0" fontId="14" fillId="0" borderId="15" xfId="71" applyFont="1" applyFill="1" applyBorder="1" applyAlignment="1" applyProtection="1">
      <alignment horizontal="center" vertical="center"/>
      <protection/>
    </xf>
    <xf numFmtId="0" fontId="14" fillId="0" borderId="13" xfId="73" applyFont="1" applyFill="1" applyBorder="1" applyAlignment="1" applyProtection="1">
      <alignment horizontal="center" vertical="center"/>
      <protection/>
    </xf>
    <xf numFmtId="0" fontId="50" fillId="0" borderId="24" xfId="71" applyFont="1" applyFill="1" applyBorder="1" applyAlignment="1" applyProtection="1">
      <alignment horizontal="center" vertical="center" wrapText="1"/>
      <protection/>
    </xf>
    <xf numFmtId="0" fontId="50" fillId="0" borderId="22" xfId="71" applyFont="1" applyFill="1" applyBorder="1" applyAlignment="1" applyProtection="1">
      <alignment horizontal="center" vertical="center" wrapText="1"/>
      <protection/>
    </xf>
    <xf numFmtId="0" fontId="50" fillId="0" borderId="25" xfId="71" applyFont="1" applyFill="1" applyBorder="1" applyAlignment="1" applyProtection="1">
      <alignment horizontal="center" vertical="center" wrapText="1"/>
      <protection/>
    </xf>
    <xf numFmtId="3" fontId="27" fillId="0" borderId="0" xfId="71" applyNumberFormat="1" applyFont="1" applyFill="1" applyAlignment="1" applyProtection="1">
      <alignment horizontal="left" vertical="center"/>
      <protection/>
    </xf>
    <xf numFmtId="0" fontId="39" fillId="0" borderId="0" xfId="71" applyNumberFormat="1" applyFont="1" applyFill="1" applyAlignment="1" applyProtection="1">
      <alignment horizontal="center" vertical="center"/>
      <protection/>
    </xf>
    <xf numFmtId="0" fontId="30" fillId="0" borderId="59" xfId="71" applyFont="1" applyFill="1" applyBorder="1" applyAlignment="1" applyProtection="1">
      <alignment horizontal="center" vertical="top" wrapText="1"/>
      <protection/>
    </xf>
    <xf numFmtId="0" fontId="30" fillId="0" borderId="61" xfId="71" applyFont="1" applyFill="1" applyBorder="1" applyAlignment="1" applyProtection="1">
      <alignment horizontal="center" vertical="top" wrapText="1"/>
      <protection/>
    </xf>
    <xf numFmtId="0" fontId="30" fillId="0" borderId="58" xfId="71" applyFont="1" applyFill="1" applyBorder="1" applyAlignment="1" applyProtection="1">
      <alignment horizontal="center" vertical="top" wrapText="1"/>
      <protection/>
    </xf>
    <xf numFmtId="0" fontId="30" fillId="0" borderId="30" xfId="71" applyFont="1" applyFill="1" applyBorder="1" applyAlignment="1" applyProtection="1">
      <alignment horizontal="center" vertical="top" wrapText="1"/>
      <protection/>
    </xf>
    <xf numFmtId="0" fontId="30" fillId="0" borderId="40" xfId="71" applyFont="1" applyFill="1" applyBorder="1" applyAlignment="1" applyProtection="1">
      <alignment horizontal="center" vertical="top" wrapText="1"/>
      <protection/>
    </xf>
    <xf numFmtId="0" fontId="30" fillId="0" borderId="43" xfId="71" applyFont="1" applyFill="1" applyBorder="1" applyAlignment="1" applyProtection="1">
      <alignment horizontal="center" vertical="top" wrapText="1"/>
      <protection/>
    </xf>
    <xf numFmtId="0" fontId="2" fillId="0" borderId="61" xfId="73" applyFill="1" applyBorder="1" applyAlignment="1" applyProtection="1">
      <alignment vertical="top"/>
      <protection/>
    </xf>
    <xf numFmtId="0" fontId="2" fillId="0" borderId="58" xfId="73" applyFill="1" applyBorder="1" applyAlignment="1" applyProtection="1">
      <alignment vertical="top"/>
      <protection/>
    </xf>
    <xf numFmtId="0" fontId="2" fillId="0" borderId="30" xfId="73" applyFill="1" applyBorder="1" applyAlignment="1" applyProtection="1">
      <alignment vertical="top"/>
      <protection/>
    </xf>
    <xf numFmtId="0" fontId="18" fillId="0" borderId="19" xfId="73" applyFont="1" applyFill="1" applyBorder="1" applyAlignment="1" applyProtection="1">
      <alignment horizontal="center" vertical="top"/>
      <protection/>
    </xf>
    <xf numFmtId="0" fontId="18" fillId="0" borderId="29" xfId="73" applyFont="1" applyFill="1" applyBorder="1" applyAlignment="1" applyProtection="1">
      <alignment horizontal="center" vertical="top"/>
      <protection/>
    </xf>
    <xf numFmtId="0" fontId="18" fillId="0" borderId="41" xfId="73" applyFont="1" applyFill="1" applyBorder="1" applyAlignment="1" applyProtection="1">
      <alignment horizontal="center" vertical="top"/>
      <protection/>
    </xf>
    <xf numFmtId="3" fontId="30" fillId="0" borderId="15" xfId="71" applyNumberFormat="1" applyFont="1" applyFill="1" applyBorder="1" applyAlignment="1" applyProtection="1">
      <alignment horizontal="center" vertical="top" wrapText="1"/>
      <protection/>
    </xf>
    <xf numFmtId="3" fontId="30" fillId="0" borderId="46" xfId="71" applyNumberFormat="1" applyFont="1" applyFill="1" applyBorder="1" applyAlignment="1" applyProtection="1">
      <alignment horizontal="center" vertical="top" wrapText="1"/>
      <protection/>
    </xf>
    <xf numFmtId="3" fontId="30" fillId="0" borderId="13" xfId="71" applyNumberFormat="1" applyFont="1" applyFill="1" applyBorder="1" applyAlignment="1" applyProtection="1">
      <alignment horizontal="center" vertical="top" wrapText="1"/>
      <protection/>
    </xf>
    <xf numFmtId="49" fontId="53" fillId="0" borderId="10" xfId="0" applyNumberFormat="1" applyFont="1" applyFill="1" applyBorder="1" applyAlignment="1" applyProtection="1">
      <alignment horizontal="left" vertical="center" wrapText="1"/>
      <protection/>
    </xf>
    <xf numFmtId="49" fontId="53" fillId="0" borderId="10" xfId="0" applyNumberFormat="1" applyFont="1" applyFill="1" applyBorder="1" applyAlignment="1" applyProtection="1">
      <alignment horizontal="left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0" borderId="56" xfId="0" applyFont="1" applyFill="1" applyBorder="1" applyAlignment="1" applyProtection="1">
      <alignment horizontal="center" vertical="center" wrapText="1"/>
      <protection/>
    </xf>
    <xf numFmtId="0" fontId="24" fillId="0" borderId="55" xfId="0" applyFont="1" applyFill="1" applyBorder="1" applyAlignment="1" applyProtection="1">
      <alignment horizontal="center" vertical="center" wrapText="1"/>
      <protection/>
    </xf>
    <xf numFmtId="0" fontId="24" fillId="0" borderId="35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35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4" fillId="0" borderId="38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center" vertical="top" wrapText="1"/>
      <protection/>
    </xf>
    <xf numFmtId="0" fontId="59" fillId="0" borderId="0" xfId="0" applyFont="1" applyFill="1" applyBorder="1" applyAlignment="1" applyProtection="1">
      <alignment horizontal="center" vertical="top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left" vertical="center" wrapText="1"/>
      <protection/>
    </xf>
    <xf numFmtId="0" fontId="28" fillId="0" borderId="13" xfId="0" applyFont="1" applyFill="1" applyBorder="1" applyAlignment="1" applyProtection="1">
      <alignment horizontal="left" vertical="center" wrapText="1"/>
      <protection/>
    </xf>
    <xf numFmtId="0" fontId="28" fillId="0" borderId="19" xfId="71" applyFont="1" applyBorder="1" applyAlignment="1" applyProtection="1">
      <alignment horizontal="center" vertical="top"/>
      <protection/>
    </xf>
    <xf numFmtId="0" fontId="28" fillId="0" borderId="41" xfId="71" applyFont="1" applyBorder="1" applyAlignment="1" applyProtection="1">
      <alignment horizontal="center" vertical="top"/>
      <protection/>
    </xf>
    <xf numFmtId="0" fontId="28" fillId="0" borderId="15" xfId="71" applyFont="1" applyBorder="1" applyAlignment="1" applyProtection="1">
      <alignment horizontal="center" vertical="top" wrapText="1"/>
      <protection/>
    </xf>
    <xf numFmtId="0" fontId="28" fillId="0" borderId="13" xfId="71" applyFont="1" applyBorder="1" applyAlignment="1" applyProtection="1">
      <alignment horizontal="center" vertical="top" wrapText="1"/>
      <protection/>
    </xf>
    <xf numFmtId="3" fontId="28" fillId="0" borderId="19" xfId="71" applyNumberFormat="1" applyFont="1" applyBorder="1" applyAlignment="1" applyProtection="1">
      <alignment horizontal="center" vertical="top" wrapText="1"/>
      <protection/>
    </xf>
    <xf numFmtId="3" fontId="28" fillId="0" borderId="41" xfId="71" applyNumberFormat="1" applyFont="1" applyBorder="1" applyAlignment="1" applyProtection="1">
      <alignment horizontal="center" vertical="top" wrapText="1"/>
      <protection/>
    </xf>
    <xf numFmtId="0" fontId="28" fillId="0" borderId="19" xfId="71" applyFont="1" applyBorder="1" applyAlignment="1" applyProtection="1">
      <alignment horizontal="center" vertical="top" wrapText="1"/>
      <protection/>
    </xf>
    <xf numFmtId="0" fontId="28" fillId="0" borderId="41" xfId="71" applyFont="1" applyBorder="1" applyAlignment="1" applyProtection="1">
      <alignment horizontal="center" vertical="top" wrapText="1"/>
      <protection/>
    </xf>
    <xf numFmtId="0" fontId="39" fillId="0" borderId="15" xfId="71" applyFont="1" applyBorder="1" applyAlignment="1" applyProtection="1">
      <alignment horizontal="center" vertical="center" wrapText="1"/>
      <protection/>
    </xf>
    <xf numFmtId="0" fontId="39" fillId="0" borderId="46" xfId="71" applyFont="1" applyBorder="1" applyAlignment="1" applyProtection="1">
      <alignment horizontal="center" vertical="center" wrapText="1"/>
      <protection/>
    </xf>
    <xf numFmtId="0" fontId="39" fillId="0" borderId="13" xfId="71" applyFont="1" applyBorder="1" applyAlignment="1" applyProtection="1">
      <alignment horizontal="center" vertical="center" wrapText="1"/>
      <protection/>
    </xf>
    <xf numFmtId="3" fontId="27" fillId="0" borderId="0" xfId="71" applyNumberFormat="1" applyFont="1" applyAlignment="1" applyProtection="1">
      <alignment horizontal="left"/>
      <protection/>
    </xf>
    <xf numFmtId="3" fontId="27" fillId="0" borderId="0" xfId="71" applyNumberFormat="1" applyFont="1" applyAlignment="1" applyProtection="1">
      <alignment horizontal="left" wrapText="1"/>
      <protection/>
    </xf>
    <xf numFmtId="0" fontId="23" fillId="0" borderId="0" xfId="71" applyNumberFormat="1" applyFont="1" applyAlignment="1" applyProtection="1">
      <alignment horizontal="center" vertical="center"/>
      <protection/>
    </xf>
    <xf numFmtId="0" fontId="28" fillId="0" borderId="19" xfId="71" applyFont="1" applyFill="1" applyBorder="1" applyAlignment="1" applyProtection="1">
      <alignment horizontal="center" vertical="top"/>
      <protection/>
    </xf>
    <xf numFmtId="0" fontId="28" fillId="0" borderId="41" xfId="71" applyFont="1" applyFill="1" applyBorder="1" applyAlignment="1" applyProtection="1">
      <alignment horizontal="center" vertical="top"/>
      <protection/>
    </xf>
    <xf numFmtId="0" fontId="28" fillId="0" borderId="15" xfId="71" applyFont="1" applyFill="1" applyBorder="1" applyAlignment="1" applyProtection="1">
      <alignment horizontal="center" vertical="top" wrapText="1"/>
      <protection/>
    </xf>
    <xf numFmtId="0" fontId="28" fillId="0" borderId="13" xfId="71" applyFont="1" applyFill="1" applyBorder="1" applyAlignment="1" applyProtection="1">
      <alignment horizontal="center" vertical="top" wrapText="1"/>
      <protection/>
    </xf>
    <xf numFmtId="3" fontId="28" fillId="0" borderId="19" xfId="71" applyNumberFormat="1" applyFont="1" applyFill="1" applyBorder="1" applyAlignment="1" applyProtection="1">
      <alignment horizontal="center" vertical="top" wrapText="1"/>
      <protection/>
    </xf>
    <xf numFmtId="3" fontId="28" fillId="0" borderId="41" xfId="71" applyNumberFormat="1" applyFont="1" applyFill="1" applyBorder="1" applyAlignment="1" applyProtection="1">
      <alignment horizontal="center" vertical="top" wrapText="1"/>
      <protection/>
    </xf>
    <xf numFmtId="0" fontId="28" fillId="0" borderId="19" xfId="71" applyFont="1" applyFill="1" applyBorder="1" applyAlignment="1" applyProtection="1">
      <alignment horizontal="center" vertical="top" wrapText="1"/>
      <protection/>
    </xf>
    <xf numFmtId="0" fontId="28" fillId="0" borderId="41" xfId="71" applyFont="1" applyFill="1" applyBorder="1" applyAlignment="1" applyProtection="1">
      <alignment horizontal="center" vertical="top" wrapText="1"/>
      <protection/>
    </xf>
    <xf numFmtId="0" fontId="39" fillId="0" borderId="15" xfId="71" applyFont="1" applyFill="1" applyBorder="1" applyAlignment="1" applyProtection="1">
      <alignment horizontal="center" vertical="center" wrapText="1"/>
      <protection/>
    </xf>
    <xf numFmtId="0" fontId="39" fillId="0" borderId="46" xfId="71" applyFont="1" applyFill="1" applyBorder="1" applyAlignment="1" applyProtection="1">
      <alignment horizontal="center" vertical="center" wrapText="1"/>
      <protection/>
    </xf>
    <xf numFmtId="0" fontId="39" fillId="0" borderId="13" xfId="71" applyFont="1" applyFill="1" applyBorder="1" applyAlignment="1" applyProtection="1">
      <alignment horizontal="center" vertical="center" wrapText="1"/>
      <protection/>
    </xf>
    <xf numFmtId="3" fontId="27" fillId="0" borderId="0" xfId="71" applyNumberFormat="1" applyFont="1" applyFill="1" applyAlignment="1" applyProtection="1">
      <alignment horizontal="left" wrapText="1"/>
      <protection/>
    </xf>
    <xf numFmtId="0" fontId="23" fillId="0" borderId="0" xfId="71" applyNumberFormat="1" applyFont="1" applyFill="1" applyAlignment="1" applyProtection="1">
      <alignment horizontal="center" vertical="center"/>
      <protection/>
    </xf>
    <xf numFmtId="0" fontId="20" fillId="0" borderId="0" xfId="65" applyFont="1" applyAlignment="1" applyProtection="1">
      <alignment horizontal="center"/>
      <protection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10" xfId="56"/>
    <cellStyle name="Normalny 2" xfId="57"/>
    <cellStyle name="Normalny 2 2" xfId="58"/>
    <cellStyle name="Normalny 2_RDW" xfId="59"/>
    <cellStyle name="Normalny 3" xfId="60"/>
    <cellStyle name="Normalny 4" xfId="61"/>
    <cellStyle name="Normalny 5" xfId="62"/>
    <cellStyle name="Normalny 6" xfId="63"/>
    <cellStyle name="Normalny_IZ 2011" xfId="64"/>
    <cellStyle name="Normalny_RDW 2014" xfId="65"/>
    <cellStyle name="Normalny_RPO 2011" xfId="66"/>
    <cellStyle name="Normalny_Załącznik  nr 7  RPO na 2010" xfId="67"/>
    <cellStyle name="Normalny_załącznik nr 1" xfId="68"/>
    <cellStyle name="Normalny_Załącznik nr 3  do proj. budżetu na 2006r._Zał. Nr 3 i Nr 21 do proj.budż.po Autopoprawce" xfId="69"/>
    <cellStyle name="Normalny_Załącznik nr 9  PROW na 2010" xfId="70"/>
    <cellStyle name="Normalny_Załączniki do  budżetu na 2005 r" xfId="71"/>
    <cellStyle name="Normalny_Załączniki do budżetu na 2006 r._Zał. Nr 3 i Nr 21 do proj.budż.po Autopoprawce" xfId="72"/>
    <cellStyle name="Normalny_Załączniki do projektu budżetu na 2009 r." xfId="73"/>
    <cellStyle name="Obliczenia" xfId="74"/>
    <cellStyle name="Followed Hyperlink" xfId="75"/>
    <cellStyle name="Percent" xfId="76"/>
    <cellStyle name="Procentowy 2" xfId="77"/>
    <cellStyle name="Styl 1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SheetLayoutView="100" zoomScalePageLayoutView="0" workbookViewId="0" topLeftCell="A1">
      <selection activeCell="B7" sqref="B7:B10"/>
    </sheetView>
  </sheetViews>
  <sheetFormatPr defaultColWidth="8" defaultRowHeight="14.25"/>
  <cols>
    <col min="1" max="1" width="5" style="94" customWidth="1"/>
    <col min="2" max="2" width="27.59765625" style="95" customWidth="1"/>
    <col min="3" max="3" width="12.8984375" style="7" customWidth="1"/>
    <col min="4" max="6" width="11.3984375" style="9" customWidth="1"/>
    <col min="7" max="8" width="11.09765625" style="9" customWidth="1"/>
    <col min="9" max="10" width="10.8984375" style="9" customWidth="1"/>
    <col min="11" max="13" width="11.3984375" style="9" customWidth="1"/>
    <col min="14" max="14" width="11.09765625" style="9" customWidth="1"/>
    <col min="15" max="16" width="11.3984375" style="9" customWidth="1"/>
    <col min="17" max="16384" width="8" style="9" customWidth="1"/>
  </cols>
  <sheetData>
    <row r="1" spans="1:16" ht="12.75">
      <c r="A1" s="5"/>
      <c r="B1" s="6"/>
      <c r="D1" s="8"/>
      <c r="E1" s="8"/>
      <c r="F1" s="8"/>
      <c r="G1" s="8"/>
      <c r="H1" s="8"/>
      <c r="I1" s="8"/>
      <c r="J1" s="8"/>
      <c r="K1" s="8"/>
      <c r="L1" s="8"/>
      <c r="N1" s="8" t="s">
        <v>162</v>
      </c>
      <c r="O1" s="8"/>
      <c r="P1" s="8"/>
    </row>
    <row r="2" spans="1:16" ht="12.75">
      <c r="A2" s="5"/>
      <c r="B2" s="6"/>
      <c r="D2" s="8"/>
      <c r="E2" s="8"/>
      <c r="F2" s="8"/>
      <c r="G2" s="8"/>
      <c r="H2" s="8"/>
      <c r="I2" s="8"/>
      <c r="J2" s="8"/>
      <c r="K2" s="8"/>
      <c r="L2" s="8"/>
      <c r="N2" s="8" t="s">
        <v>204</v>
      </c>
      <c r="O2" s="8"/>
      <c r="P2" s="8"/>
    </row>
    <row r="3" spans="1:16" ht="12.75">
      <c r="A3" s="5"/>
      <c r="B3" s="6"/>
      <c r="D3" s="8"/>
      <c r="E3" s="8"/>
      <c r="F3" s="8"/>
      <c r="G3" s="8"/>
      <c r="H3" s="8"/>
      <c r="I3" s="8"/>
      <c r="J3" s="8"/>
      <c r="K3" s="8"/>
      <c r="L3" s="8"/>
      <c r="N3" s="8" t="s">
        <v>199</v>
      </c>
      <c r="O3" s="8"/>
      <c r="P3" s="8"/>
    </row>
    <row r="4" spans="1:16" ht="21.75" customHeight="1">
      <c r="A4" s="903" t="s">
        <v>0</v>
      </c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/>
      <c r="M4" s="903"/>
      <c r="N4" s="903"/>
      <c r="O4" s="903"/>
      <c r="P4" s="903"/>
    </row>
    <row r="5" spans="1:16" ht="18" customHeight="1">
      <c r="A5" s="903" t="s">
        <v>200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</row>
    <row r="6" spans="1:16" ht="13.5" thickBot="1">
      <c r="A6" s="5"/>
      <c r="B6" s="6"/>
      <c r="D6" s="8"/>
      <c r="E6" s="8"/>
      <c r="F6" s="10"/>
      <c r="G6" s="10"/>
      <c r="H6" s="10"/>
      <c r="I6" s="10"/>
      <c r="J6" s="10"/>
      <c r="K6" s="10"/>
      <c r="L6" s="10"/>
      <c r="M6" s="8"/>
      <c r="N6" s="8"/>
      <c r="O6" s="11"/>
      <c r="P6" s="11" t="s">
        <v>70</v>
      </c>
    </row>
    <row r="7" spans="1:16" s="12" customFormat="1" ht="18.75" customHeight="1">
      <c r="A7" s="904" t="s">
        <v>71</v>
      </c>
      <c r="B7" s="907" t="s">
        <v>72</v>
      </c>
      <c r="C7" s="898" t="s">
        <v>73</v>
      </c>
      <c r="D7" s="896" t="s">
        <v>1</v>
      </c>
      <c r="E7" s="901" t="s">
        <v>2</v>
      </c>
      <c r="F7" s="916" t="s">
        <v>3</v>
      </c>
      <c r="G7" s="916"/>
      <c r="H7" s="916"/>
      <c r="I7" s="916"/>
      <c r="J7" s="916"/>
      <c r="K7" s="916"/>
      <c r="L7" s="916"/>
      <c r="M7" s="916"/>
      <c r="N7" s="916"/>
      <c r="O7" s="916"/>
      <c r="P7" s="917"/>
    </row>
    <row r="8" spans="1:16" s="12" customFormat="1" ht="19.5" customHeight="1">
      <c r="A8" s="905"/>
      <c r="B8" s="908"/>
      <c r="C8" s="899"/>
      <c r="D8" s="897"/>
      <c r="E8" s="902"/>
      <c r="F8" s="913" t="s">
        <v>202</v>
      </c>
      <c r="G8" s="914"/>
      <c r="H8" s="914"/>
      <c r="I8" s="914"/>
      <c r="J8" s="914"/>
      <c r="K8" s="914"/>
      <c r="L8" s="914"/>
      <c r="M8" s="913" t="s">
        <v>4</v>
      </c>
      <c r="N8" s="913"/>
      <c r="O8" s="913"/>
      <c r="P8" s="915"/>
    </row>
    <row r="9" spans="1:16" s="12" customFormat="1" ht="29.25" customHeight="1">
      <c r="A9" s="905"/>
      <c r="B9" s="908"/>
      <c r="C9" s="899"/>
      <c r="D9" s="897"/>
      <c r="E9" s="902"/>
      <c r="F9" s="890" t="s">
        <v>22</v>
      </c>
      <c r="G9" s="892" t="s">
        <v>23</v>
      </c>
      <c r="H9" s="893"/>
      <c r="I9" s="894" t="s">
        <v>5</v>
      </c>
      <c r="J9" s="894" t="s">
        <v>6</v>
      </c>
      <c r="K9" s="894" t="s">
        <v>7</v>
      </c>
      <c r="L9" s="894" t="s">
        <v>201</v>
      </c>
      <c r="M9" s="894" t="s">
        <v>8</v>
      </c>
      <c r="N9" s="894" t="s">
        <v>5</v>
      </c>
      <c r="O9" s="912" t="s">
        <v>6</v>
      </c>
      <c r="P9" s="910" t="s">
        <v>201</v>
      </c>
    </row>
    <row r="10" spans="1:16" s="12" customFormat="1" ht="42" customHeight="1">
      <c r="A10" s="906"/>
      <c r="B10" s="909"/>
      <c r="C10" s="900"/>
      <c r="D10" s="891"/>
      <c r="E10" s="895"/>
      <c r="F10" s="891"/>
      <c r="G10" s="13" t="s">
        <v>9</v>
      </c>
      <c r="H10" s="14" t="s">
        <v>10</v>
      </c>
      <c r="I10" s="895"/>
      <c r="J10" s="895"/>
      <c r="K10" s="895"/>
      <c r="L10" s="895"/>
      <c r="M10" s="895"/>
      <c r="N10" s="895"/>
      <c r="O10" s="891"/>
      <c r="P10" s="911"/>
    </row>
    <row r="11" spans="1:16" s="21" customFormat="1" ht="12" customHeight="1">
      <c r="A11" s="15" t="s">
        <v>74</v>
      </c>
      <c r="B11" s="16" t="s">
        <v>75</v>
      </c>
      <c r="C11" s="17" t="s">
        <v>76</v>
      </c>
      <c r="D11" s="17" t="s">
        <v>58</v>
      </c>
      <c r="E11" s="17" t="s">
        <v>64</v>
      </c>
      <c r="F11" s="18" t="s">
        <v>65</v>
      </c>
      <c r="G11" s="17" t="s">
        <v>66</v>
      </c>
      <c r="H11" s="19" t="s">
        <v>67</v>
      </c>
      <c r="I11" s="17" t="s">
        <v>68</v>
      </c>
      <c r="J11" s="17" t="s">
        <v>69</v>
      </c>
      <c r="K11" s="17" t="s">
        <v>11</v>
      </c>
      <c r="L11" s="17" t="s">
        <v>12</v>
      </c>
      <c r="M11" s="17" t="s">
        <v>13</v>
      </c>
      <c r="N11" s="17" t="s">
        <v>14</v>
      </c>
      <c r="O11" s="18" t="s">
        <v>203</v>
      </c>
      <c r="P11" s="20" t="s">
        <v>205</v>
      </c>
    </row>
    <row r="12" spans="1:16" s="28" customFormat="1" ht="7.5" customHeight="1" thickBot="1">
      <c r="A12" s="22"/>
      <c r="B12" s="23"/>
      <c r="C12" s="24"/>
      <c r="D12" s="25"/>
      <c r="E12" s="25"/>
      <c r="F12" s="25"/>
      <c r="G12" s="26"/>
      <c r="H12" s="25"/>
      <c r="I12" s="25"/>
      <c r="J12" s="25"/>
      <c r="K12" s="25"/>
      <c r="L12" s="25"/>
      <c r="M12" s="25"/>
      <c r="N12" s="25"/>
      <c r="O12" s="25"/>
      <c r="P12" s="27"/>
    </row>
    <row r="13" spans="1:16" s="35" customFormat="1" ht="19.5" customHeight="1" thickBot="1">
      <c r="A13" s="29"/>
      <c r="B13" s="30" t="s">
        <v>15</v>
      </c>
      <c r="C13" s="31">
        <f aca="true" t="shared" si="0" ref="C13:O13">SUM(C15:C35)</f>
        <v>771792966</v>
      </c>
      <c r="D13" s="31">
        <f t="shared" si="0"/>
        <v>538367413</v>
      </c>
      <c r="E13" s="31">
        <f t="shared" si="0"/>
        <v>20769161</v>
      </c>
      <c r="F13" s="32">
        <f t="shared" si="0"/>
        <v>61082844</v>
      </c>
      <c r="G13" s="31">
        <f t="shared" si="0"/>
        <v>40799451</v>
      </c>
      <c r="H13" s="33">
        <f t="shared" si="0"/>
        <v>29467003</v>
      </c>
      <c r="I13" s="31">
        <f t="shared" si="0"/>
        <v>1179043</v>
      </c>
      <c r="J13" s="31">
        <f t="shared" si="0"/>
        <v>718712</v>
      </c>
      <c r="K13" s="31">
        <f t="shared" si="0"/>
        <v>1549027</v>
      </c>
      <c r="L13" s="31">
        <f t="shared" si="0"/>
        <v>354</v>
      </c>
      <c r="M13" s="31">
        <f t="shared" si="0"/>
        <v>55516448</v>
      </c>
      <c r="N13" s="31">
        <f t="shared" si="0"/>
        <v>7421777</v>
      </c>
      <c r="O13" s="32">
        <f t="shared" si="0"/>
        <v>11211464</v>
      </c>
      <c r="P13" s="34">
        <f>SUM(P15:P35)</f>
        <v>3710269</v>
      </c>
    </row>
    <row r="14" spans="1:16" s="45" customFormat="1" ht="8.25" customHeight="1" thickBot="1">
      <c r="A14" s="36"/>
      <c r="B14" s="37"/>
      <c r="C14" s="38"/>
      <c r="D14" s="39"/>
      <c r="E14" s="40"/>
      <c r="F14" s="41"/>
      <c r="G14" s="42"/>
      <c r="H14" s="41"/>
      <c r="I14" s="41"/>
      <c r="J14" s="43"/>
      <c r="K14" s="41"/>
      <c r="L14" s="41"/>
      <c r="M14" s="40"/>
      <c r="N14" s="40"/>
      <c r="O14" s="41"/>
      <c r="P14" s="44"/>
    </row>
    <row r="15" spans="1:16" s="54" customFormat="1" ht="21" customHeight="1">
      <c r="A15" s="46" t="s">
        <v>77</v>
      </c>
      <c r="B15" s="47" t="s">
        <v>16</v>
      </c>
      <c r="C15" s="48">
        <f>SUM(D15:P15)</f>
        <v>12009150</v>
      </c>
      <c r="D15" s="49">
        <v>0</v>
      </c>
      <c r="E15" s="49">
        <f>6500000+9150</f>
        <v>6509150</v>
      </c>
      <c r="F15" s="50">
        <v>0</v>
      </c>
      <c r="G15" s="49">
        <f>369000+3131000</f>
        <v>3500000</v>
      </c>
      <c r="H15" s="51">
        <f>211000+1789000</f>
        <v>2000000</v>
      </c>
      <c r="I15" s="49">
        <v>0</v>
      </c>
      <c r="J15" s="52">
        <v>0</v>
      </c>
      <c r="K15" s="50">
        <v>0</v>
      </c>
      <c r="L15" s="50">
        <v>0</v>
      </c>
      <c r="M15" s="49">
        <v>0</v>
      </c>
      <c r="N15" s="49">
        <v>0</v>
      </c>
      <c r="O15" s="51">
        <v>0</v>
      </c>
      <c r="P15" s="53">
        <v>0</v>
      </c>
    </row>
    <row r="16" spans="1:16" s="54" customFormat="1" ht="21" customHeight="1">
      <c r="A16" s="55" t="s">
        <v>78</v>
      </c>
      <c r="B16" s="56" t="s">
        <v>79</v>
      </c>
      <c r="C16" s="57">
        <f aca="true" t="shared" si="1" ref="C16:C35">SUM(D16:P16)</f>
        <v>696000</v>
      </c>
      <c r="D16" s="58">
        <v>0</v>
      </c>
      <c r="E16" s="58">
        <v>0</v>
      </c>
      <c r="F16" s="59">
        <v>0</v>
      </c>
      <c r="G16" s="58">
        <v>480000</v>
      </c>
      <c r="H16" s="59">
        <v>160000</v>
      </c>
      <c r="I16" s="58">
        <v>0</v>
      </c>
      <c r="J16" s="60">
        <v>0</v>
      </c>
      <c r="K16" s="61">
        <v>0</v>
      </c>
      <c r="L16" s="61">
        <v>0</v>
      </c>
      <c r="M16" s="58">
        <v>56000</v>
      </c>
      <c r="N16" s="58">
        <v>0</v>
      </c>
      <c r="O16" s="59">
        <v>0</v>
      </c>
      <c r="P16" s="62">
        <v>0</v>
      </c>
    </row>
    <row r="17" spans="1:16" s="54" customFormat="1" ht="21" customHeight="1">
      <c r="A17" s="55" t="s">
        <v>165</v>
      </c>
      <c r="B17" s="56" t="s">
        <v>166</v>
      </c>
      <c r="C17" s="57">
        <f t="shared" si="1"/>
        <v>4095727</v>
      </c>
      <c r="D17" s="58">
        <v>0</v>
      </c>
      <c r="E17" s="58">
        <v>0</v>
      </c>
      <c r="F17" s="59">
        <v>0</v>
      </c>
      <c r="G17" s="58">
        <v>0</v>
      </c>
      <c r="H17" s="59">
        <v>0</v>
      </c>
      <c r="I17" s="58">
        <v>0</v>
      </c>
      <c r="J17" s="60">
        <v>0</v>
      </c>
      <c r="K17" s="58">
        <v>385458</v>
      </c>
      <c r="L17" s="58">
        <v>0</v>
      </c>
      <c r="M17" s="58">
        <v>0</v>
      </c>
      <c r="N17" s="58">
        <v>0</v>
      </c>
      <c r="O17" s="59">
        <v>0</v>
      </c>
      <c r="P17" s="62">
        <v>3710269</v>
      </c>
    </row>
    <row r="18" spans="1:16" s="69" customFormat="1" ht="21" customHeight="1">
      <c r="A18" s="63" t="s">
        <v>80</v>
      </c>
      <c r="B18" s="64" t="s">
        <v>81</v>
      </c>
      <c r="C18" s="57">
        <f t="shared" si="1"/>
        <v>69506997</v>
      </c>
      <c r="D18" s="65">
        <v>0</v>
      </c>
      <c r="E18" s="65">
        <f>2202775+15129+2500+800+3960000+37000+10000+16000+230000+52500+5000</f>
        <v>6531704</v>
      </c>
      <c r="F18" s="66">
        <v>0</v>
      </c>
      <c r="G18" s="65">
        <v>0</v>
      </c>
      <c r="H18" s="67">
        <v>0</v>
      </c>
      <c r="I18" s="65">
        <v>0</v>
      </c>
      <c r="J18" s="67">
        <v>0</v>
      </c>
      <c r="K18" s="65">
        <v>491479</v>
      </c>
      <c r="L18" s="65">
        <v>0</v>
      </c>
      <c r="M18" s="65">
        <f>37000000+12622448+239000</f>
        <v>49861448</v>
      </c>
      <c r="N18" s="65">
        <v>2660000</v>
      </c>
      <c r="O18" s="66">
        <v>9962366</v>
      </c>
      <c r="P18" s="68">
        <v>0</v>
      </c>
    </row>
    <row r="19" spans="1:16" s="69" customFormat="1" ht="21" customHeight="1">
      <c r="A19" s="63" t="s">
        <v>172</v>
      </c>
      <c r="B19" s="64" t="s">
        <v>173</v>
      </c>
      <c r="C19" s="57">
        <f t="shared" si="1"/>
        <v>554529</v>
      </c>
      <c r="D19" s="65">
        <v>0</v>
      </c>
      <c r="E19" s="65">
        <v>650</v>
      </c>
      <c r="F19" s="66">
        <v>0</v>
      </c>
      <c r="G19" s="65">
        <v>0</v>
      </c>
      <c r="H19" s="67">
        <v>0</v>
      </c>
      <c r="I19" s="65">
        <v>0</v>
      </c>
      <c r="J19" s="67">
        <v>0</v>
      </c>
      <c r="K19" s="65">
        <f>9546+122400+253933</f>
        <v>385879</v>
      </c>
      <c r="L19" s="65">
        <v>0</v>
      </c>
      <c r="M19" s="65">
        <v>168000</v>
      </c>
      <c r="N19" s="65">
        <v>0</v>
      </c>
      <c r="O19" s="66">
        <v>0</v>
      </c>
      <c r="P19" s="68">
        <v>0</v>
      </c>
    </row>
    <row r="20" spans="1:16" s="7" customFormat="1" ht="21" customHeight="1">
      <c r="A20" s="63" t="s">
        <v>82</v>
      </c>
      <c r="B20" s="64" t="s">
        <v>83</v>
      </c>
      <c r="C20" s="57">
        <f t="shared" si="1"/>
        <v>820000</v>
      </c>
      <c r="D20" s="65">
        <v>0</v>
      </c>
      <c r="E20" s="65">
        <f>200000+110000+510000</f>
        <v>820000</v>
      </c>
      <c r="F20" s="66">
        <v>0</v>
      </c>
      <c r="G20" s="65">
        <v>0</v>
      </c>
      <c r="H20" s="67">
        <v>0</v>
      </c>
      <c r="I20" s="65">
        <v>0</v>
      </c>
      <c r="J20" s="67">
        <v>0</v>
      </c>
      <c r="K20" s="65">
        <v>0</v>
      </c>
      <c r="L20" s="65">
        <v>0</v>
      </c>
      <c r="M20" s="65">
        <v>0</v>
      </c>
      <c r="N20" s="65">
        <v>0</v>
      </c>
      <c r="O20" s="66">
        <v>0</v>
      </c>
      <c r="P20" s="68">
        <v>0</v>
      </c>
    </row>
    <row r="21" spans="1:16" s="7" customFormat="1" ht="21" customHeight="1">
      <c r="A21" s="63" t="s">
        <v>84</v>
      </c>
      <c r="B21" s="64" t="s">
        <v>85</v>
      </c>
      <c r="C21" s="57">
        <f t="shared" si="1"/>
        <v>370450</v>
      </c>
      <c r="D21" s="65">
        <v>0</v>
      </c>
      <c r="E21" s="65">
        <f>3000+1450+22000</f>
        <v>26450</v>
      </c>
      <c r="F21" s="66">
        <v>0</v>
      </c>
      <c r="G21" s="65">
        <v>0</v>
      </c>
      <c r="H21" s="67">
        <v>0</v>
      </c>
      <c r="I21" s="65">
        <v>0</v>
      </c>
      <c r="J21" s="67">
        <v>0</v>
      </c>
      <c r="K21" s="65">
        <v>0</v>
      </c>
      <c r="L21" s="65">
        <v>0</v>
      </c>
      <c r="M21" s="65">
        <f>244000+100000</f>
        <v>344000</v>
      </c>
      <c r="N21" s="65">
        <v>0</v>
      </c>
      <c r="O21" s="66">
        <v>0</v>
      </c>
      <c r="P21" s="68">
        <v>0</v>
      </c>
    </row>
    <row r="22" spans="1:16" s="7" customFormat="1" ht="21" customHeight="1">
      <c r="A22" s="63" t="s">
        <v>86</v>
      </c>
      <c r="B22" s="64" t="s">
        <v>87</v>
      </c>
      <c r="C22" s="57">
        <f t="shared" si="1"/>
        <v>802799</v>
      </c>
      <c r="D22" s="65">
        <v>0</v>
      </c>
      <c r="E22" s="65">
        <v>0</v>
      </c>
      <c r="F22" s="66">
        <v>0</v>
      </c>
      <c r="G22" s="65">
        <v>0</v>
      </c>
      <c r="H22" s="67">
        <v>0</v>
      </c>
      <c r="I22" s="65">
        <f>37918+27910</f>
        <v>65828</v>
      </c>
      <c r="J22" s="67">
        <v>0</v>
      </c>
      <c r="K22" s="66">
        <v>0</v>
      </c>
      <c r="L22" s="65">
        <v>354</v>
      </c>
      <c r="M22" s="65">
        <v>0</v>
      </c>
      <c r="N22" s="65">
        <v>736617</v>
      </c>
      <c r="O22" s="66">
        <v>0</v>
      </c>
      <c r="P22" s="68">
        <v>0</v>
      </c>
    </row>
    <row r="23" spans="1:16" s="69" customFormat="1" ht="21" customHeight="1">
      <c r="A23" s="63" t="s">
        <v>88</v>
      </c>
      <c r="B23" s="64" t="s">
        <v>89</v>
      </c>
      <c r="C23" s="57">
        <f t="shared" si="1"/>
        <v>3040615</v>
      </c>
      <c r="D23" s="65">
        <v>0</v>
      </c>
      <c r="E23" s="65">
        <f>1000+45000+45000+100+10000+10000+30000+300</f>
        <v>141400</v>
      </c>
      <c r="F23" s="70">
        <v>0</v>
      </c>
      <c r="G23" s="65">
        <v>1275000</v>
      </c>
      <c r="H23" s="67">
        <v>225000</v>
      </c>
      <c r="I23" s="65">
        <v>1113215</v>
      </c>
      <c r="J23" s="67">
        <v>0</v>
      </c>
      <c r="K23" s="65">
        <v>0</v>
      </c>
      <c r="L23" s="65">
        <v>0</v>
      </c>
      <c r="M23" s="65">
        <f>85000+201000</f>
        <v>286000</v>
      </c>
      <c r="N23" s="65">
        <v>0</v>
      </c>
      <c r="O23" s="66">
        <v>0</v>
      </c>
      <c r="P23" s="68">
        <v>0</v>
      </c>
    </row>
    <row r="24" spans="1:16" s="69" customFormat="1" ht="21" customHeight="1">
      <c r="A24" s="63" t="s">
        <v>90</v>
      </c>
      <c r="B24" s="64" t="s">
        <v>91</v>
      </c>
      <c r="C24" s="57">
        <f t="shared" si="1"/>
        <v>5000</v>
      </c>
      <c r="D24" s="65">
        <v>0</v>
      </c>
      <c r="E24" s="65">
        <v>0</v>
      </c>
      <c r="F24" s="70">
        <v>0</v>
      </c>
      <c r="G24" s="65">
        <v>0</v>
      </c>
      <c r="H24" s="67">
        <v>0</v>
      </c>
      <c r="I24" s="65">
        <v>0</v>
      </c>
      <c r="J24" s="67">
        <v>0</v>
      </c>
      <c r="K24" s="65">
        <v>0</v>
      </c>
      <c r="L24" s="65">
        <v>0</v>
      </c>
      <c r="M24" s="65">
        <v>5000</v>
      </c>
      <c r="N24" s="65">
        <v>0</v>
      </c>
      <c r="O24" s="66">
        <v>0</v>
      </c>
      <c r="P24" s="68">
        <v>0</v>
      </c>
    </row>
    <row r="25" spans="1:16" s="69" customFormat="1" ht="84.75" customHeight="1">
      <c r="A25" s="63" t="s">
        <v>17</v>
      </c>
      <c r="B25" s="64" t="s">
        <v>18</v>
      </c>
      <c r="C25" s="57">
        <f t="shared" si="1"/>
        <v>298935110</v>
      </c>
      <c r="D25" s="65">
        <v>297864135</v>
      </c>
      <c r="E25" s="65">
        <v>1070975</v>
      </c>
      <c r="F25" s="66">
        <v>0</v>
      </c>
      <c r="G25" s="65">
        <v>0</v>
      </c>
      <c r="H25" s="67">
        <v>0</v>
      </c>
      <c r="I25" s="65">
        <v>0</v>
      </c>
      <c r="J25" s="67">
        <v>0</v>
      </c>
      <c r="K25" s="65">
        <v>0</v>
      </c>
      <c r="L25" s="65">
        <v>0</v>
      </c>
      <c r="M25" s="65">
        <v>0</v>
      </c>
      <c r="N25" s="65">
        <v>0</v>
      </c>
      <c r="O25" s="66">
        <v>0</v>
      </c>
      <c r="P25" s="68">
        <v>0</v>
      </c>
    </row>
    <row r="26" spans="1:16" s="69" customFormat="1" ht="18.75" customHeight="1">
      <c r="A26" s="63" t="s">
        <v>92</v>
      </c>
      <c r="B26" s="64" t="s">
        <v>93</v>
      </c>
      <c r="C26" s="57">
        <f t="shared" si="1"/>
        <v>355376972</v>
      </c>
      <c r="D26" s="65">
        <f>59737098+120362702+60403478</f>
        <v>240503278</v>
      </c>
      <c r="E26" s="65">
        <f>1714000</f>
        <v>1714000</v>
      </c>
      <c r="F26" s="70">
        <f>84500+23863864+21203853+10483827</f>
        <v>55636044</v>
      </c>
      <c r="G26" s="65">
        <f>33069650</f>
        <v>33069650</v>
      </c>
      <c r="H26" s="67">
        <f>1286740+23167260</f>
        <v>24454000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70">
        <v>0</v>
      </c>
      <c r="P26" s="68">
        <v>0</v>
      </c>
    </row>
    <row r="27" spans="1:16" s="69" customFormat="1" ht="18.75" customHeight="1">
      <c r="A27" s="63" t="s">
        <v>94</v>
      </c>
      <c r="B27" s="64" t="s">
        <v>95</v>
      </c>
      <c r="C27" s="57">
        <f t="shared" si="1"/>
        <v>1483915</v>
      </c>
      <c r="D27" s="65">
        <v>0</v>
      </c>
      <c r="E27" s="65">
        <f>3250+210+1150+720+1510+470000+550+1750+1150+160+30</f>
        <v>480480</v>
      </c>
      <c r="F27" s="66">
        <v>288116</v>
      </c>
      <c r="G27" s="65">
        <v>0</v>
      </c>
      <c r="H27" s="67">
        <v>35319</v>
      </c>
      <c r="I27" s="65">
        <v>0</v>
      </c>
      <c r="J27" s="67">
        <v>0</v>
      </c>
      <c r="K27" s="65">
        <v>0</v>
      </c>
      <c r="L27" s="65">
        <v>0</v>
      </c>
      <c r="M27" s="65">
        <v>0</v>
      </c>
      <c r="N27" s="65">
        <v>680000</v>
      </c>
      <c r="O27" s="66">
        <v>0</v>
      </c>
      <c r="P27" s="68">
        <v>0</v>
      </c>
    </row>
    <row r="28" spans="1:16" s="69" customFormat="1" ht="18.75" customHeight="1">
      <c r="A28" s="63" t="s">
        <v>96</v>
      </c>
      <c r="B28" s="64" t="s">
        <v>97</v>
      </c>
      <c r="C28" s="57">
        <f t="shared" si="1"/>
        <v>64002</v>
      </c>
      <c r="D28" s="65">
        <v>0</v>
      </c>
      <c r="E28" s="65">
        <v>0</v>
      </c>
      <c r="F28" s="65">
        <v>33416</v>
      </c>
      <c r="G28" s="65">
        <v>0</v>
      </c>
      <c r="H28" s="67">
        <v>2586</v>
      </c>
      <c r="I28" s="65">
        <v>0</v>
      </c>
      <c r="J28" s="67">
        <v>0</v>
      </c>
      <c r="K28" s="65">
        <v>0</v>
      </c>
      <c r="L28" s="65">
        <v>0</v>
      </c>
      <c r="M28" s="65">
        <f>16000+12000</f>
        <v>28000</v>
      </c>
      <c r="N28" s="65">
        <v>0</v>
      </c>
      <c r="O28" s="66">
        <v>0</v>
      </c>
      <c r="P28" s="68">
        <v>0</v>
      </c>
    </row>
    <row r="29" spans="1:16" s="69" customFormat="1" ht="18.75" customHeight="1">
      <c r="A29" s="63" t="s">
        <v>60</v>
      </c>
      <c r="B29" s="64" t="s">
        <v>98</v>
      </c>
      <c r="C29" s="57">
        <f t="shared" si="1"/>
        <v>5096967</v>
      </c>
      <c r="D29" s="65">
        <v>0</v>
      </c>
      <c r="E29" s="65">
        <v>3000</v>
      </c>
      <c r="F29" s="66">
        <f>3153507+1049362</f>
        <v>4202869</v>
      </c>
      <c r="G29" s="65">
        <v>0</v>
      </c>
      <c r="H29" s="67">
        <f>588197+125901</f>
        <v>714098</v>
      </c>
      <c r="I29" s="65">
        <v>0</v>
      </c>
      <c r="J29" s="67">
        <v>0</v>
      </c>
      <c r="K29" s="65">
        <v>0</v>
      </c>
      <c r="L29" s="65">
        <v>0</v>
      </c>
      <c r="M29" s="65">
        <v>100000</v>
      </c>
      <c r="N29" s="65">
        <v>77000</v>
      </c>
      <c r="O29" s="66">
        <v>0</v>
      </c>
      <c r="P29" s="68">
        <v>0</v>
      </c>
    </row>
    <row r="30" spans="1:16" s="69" customFormat="1" ht="29.25" customHeight="1">
      <c r="A30" s="63" t="s">
        <v>99</v>
      </c>
      <c r="B30" s="64" t="s">
        <v>19</v>
      </c>
      <c r="C30" s="57">
        <f t="shared" si="1"/>
        <v>6769952</v>
      </c>
      <c r="D30" s="65">
        <v>0</v>
      </c>
      <c r="E30" s="65">
        <f>908183+247068+1230000+100+19800</f>
        <v>2405151</v>
      </c>
      <c r="F30" s="70">
        <v>0</v>
      </c>
      <c r="G30" s="65">
        <v>2474801</v>
      </c>
      <c r="H30" s="67">
        <v>1876000</v>
      </c>
      <c r="I30" s="65">
        <v>0</v>
      </c>
      <c r="J30" s="67">
        <v>0</v>
      </c>
      <c r="K30" s="65">
        <v>0</v>
      </c>
      <c r="L30" s="65">
        <v>0</v>
      </c>
      <c r="M30" s="65">
        <v>14000</v>
      </c>
      <c r="N30" s="65">
        <v>0</v>
      </c>
      <c r="O30" s="66">
        <v>0</v>
      </c>
      <c r="P30" s="68">
        <v>0</v>
      </c>
    </row>
    <row r="31" spans="1:16" s="69" customFormat="1" ht="29.25" customHeight="1">
      <c r="A31" s="63" t="s">
        <v>61</v>
      </c>
      <c r="B31" s="64" t="s">
        <v>63</v>
      </c>
      <c r="C31" s="57">
        <f t="shared" si="1"/>
        <v>6350</v>
      </c>
      <c r="D31" s="65">
        <v>0</v>
      </c>
      <c r="E31" s="65">
        <v>6350</v>
      </c>
      <c r="F31" s="70">
        <v>0</v>
      </c>
      <c r="G31" s="65">
        <v>0</v>
      </c>
      <c r="H31" s="66">
        <v>0</v>
      </c>
      <c r="I31" s="65">
        <v>0</v>
      </c>
      <c r="J31" s="67">
        <v>0</v>
      </c>
      <c r="K31" s="70">
        <v>0</v>
      </c>
      <c r="L31" s="70">
        <v>0</v>
      </c>
      <c r="M31" s="65">
        <v>0</v>
      </c>
      <c r="N31" s="65">
        <v>0</v>
      </c>
      <c r="O31" s="66">
        <v>0</v>
      </c>
      <c r="P31" s="68">
        <v>0</v>
      </c>
    </row>
    <row r="32" spans="1:16" s="69" customFormat="1" ht="18.75" customHeight="1">
      <c r="A32" s="63" t="s">
        <v>163</v>
      </c>
      <c r="B32" s="64" t="s">
        <v>164</v>
      </c>
      <c r="C32" s="57">
        <f t="shared" si="1"/>
        <v>1761000</v>
      </c>
      <c r="D32" s="65">
        <v>0</v>
      </c>
      <c r="E32" s="65">
        <v>0</v>
      </c>
      <c r="F32" s="70">
        <v>0</v>
      </c>
      <c r="G32" s="65">
        <v>0</v>
      </c>
      <c r="H32" s="66">
        <v>0</v>
      </c>
      <c r="I32" s="65">
        <v>0</v>
      </c>
      <c r="J32" s="67">
        <v>0</v>
      </c>
      <c r="K32" s="70">
        <v>0</v>
      </c>
      <c r="L32" s="70">
        <v>0</v>
      </c>
      <c r="M32" s="65">
        <v>1761000</v>
      </c>
      <c r="N32" s="65">
        <v>0</v>
      </c>
      <c r="O32" s="66">
        <v>0</v>
      </c>
      <c r="P32" s="68">
        <v>0</v>
      </c>
    </row>
    <row r="33" spans="1:16" s="69" customFormat="1" ht="29.25" customHeight="1">
      <c r="A33" s="63" t="s">
        <v>100</v>
      </c>
      <c r="B33" s="64" t="s">
        <v>101</v>
      </c>
      <c r="C33" s="57">
        <f t="shared" si="1"/>
        <v>3130029</v>
      </c>
      <c r="D33" s="65">
        <v>0</v>
      </c>
      <c r="E33" s="65">
        <f>869873+6200+2000+100+80678</f>
        <v>958851</v>
      </c>
      <c r="F33" s="70">
        <f>646841</f>
        <v>646841</v>
      </c>
      <c r="G33" s="65">
        <v>0</v>
      </c>
      <c r="H33" s="66">
        <v>0</v>
      </c>
      <c r="I33" s="65">
        <v>0</v>
      </c>
      <c r="J33" s="67">
        <v>718712</v>
      </c>
      <c r="K33" s="65">
        <v>92625</v>
      </c>
      <c r="L33" s="65">
        <v>0</v>
      </c>
      <c r="M33" s="65">
        <f>137000+59000+517000</f>
        <v>713000</v>
      </c>
      <c r="N33" s="65">
        <v>0</v>
      </c>
      <c r="O33" s="66">
        <v>0</v>
      </c>
      <c r="P33" s="68">
        <v>0</v>
      </c>
    </row>
    <row r="34" spans="1:16" s="69" customFormat="1" ht="29.25" customHeight="1">
      <c r="A34" s="63" t="s">
        <v>102</v>
      </c>
      <c r="B34" s="64" t="s">
        <v>103</v>
      </c>
      <c r="C34" s="57">
        <f t="shared" si="1"/>
        <v>3737304</v>
      </c>
      <c r="D34" s="65">
        <v>0</v>
      </c>
      <c r="E34" s="65">
        <v>0</v>
      </c>
      <c r="F34" s="70">
        <v>275558</v>
      </c>
      <c r="G34" s="65">
        <v>0</v>
      </c>
      <c r="H34" s="66">
        <v>0</v>
      </c>
      <c r="I34" s="65">
        <v>0</v>
      </c>
      <c r="J34" s="67">
        <v>0</v>
      </c>
      <c r="K34" s="65">
        <v>193586</v>
      </c>
      <c r="L34" s="65">
        <v>0</v>
      </c>
      <c r="M34" s="65">
        <v>0</v>
      </c>
      <c r="N34" s="65">
        <f>68160+3200000</f>
        <v>3268160</v>
      </c>
      <c r="O34" s="66">
        <v>0</v>
      </c>
      <c r="P34" s="68">
        <v>0</v>
      </c>
    </row>
    <row r="35" spans="1:16" s="69" customFormat="1" ht="67.5" customHeight="1">
      <c r="A35" s="71" t="s">
        <v>62</v>
      </c>
      <c r="B35" s="72" t="s">
        <v>104</v>
      </c>
      <c r="C35" s="57">
        <f t="shared" si="1"/>
        <v>3530098</v>
      </c>
      <c r="D35" s="65">
        <v>0</v>
      </c>
      <c r="E35" s="65">
        <f>101000</f>
        <v>101000</v>
      </c>
      <c r="F35" s="70">
        <v>0</v>
      </c>
      <c r="G35" s="65">
        <v>0</v>
      </c>
      <c r="H35" s="67">
        <v>0</v>
      </c>
      <c r="I35" s="65">
        <v>0</v>
      </c>
      <c r="J35" s="65">
        <v>0</v>
      </c>
      <c r="K35" s="65">
        <v>0</v>
      </c>
      <c r="L35" s="65">
        <v>0</v>
      </c>
      <c r="M35" s="65">
        <v>2180000</v>
      </c>
      <c r="N35" s="65"/>
      <c r="O35" s="70">
        <v>1249098</v>
      </c>
      <c r="P35" s="68">
        <v>0</v>
      </c>
    </row>
    <row r="36" spans="1:16" s="45" customFormat="1" ht="6" customHeight="1" thickBot="1">
      <c r="A36" s="73"/>
      <c r="B36" s="74"/>
      <c r="C36" s="75"/>
      <c r="D36" s="76"/>
      <c r="E36" s="77"/>
      <c r="F36" s="77"/>
      <c r="G36" s="78"/>
      <c r="H36" s="77"/>
      <c r="I36" s="77"/>
      <c r="J36" s="79"/>
      <c r="K36" s="77"/>
      <c r="L36" s="77"/>
      <c r="M36" s="77"/>
      <c r="N36" s="77"/>
      <c r="O36" s="77"/>
      <c r="P36" s="80"/>
    </row>
    <row r="37" spans="1:16" s="35" customFormat="1" ht="19.5" customHeight="1" thickBot="1">
      <c r="A37" s="29"/>
      <c r="B37" s="30" t="s">
        <v>20</v>
      </c>
      <c r="C37" s="31">
        <f aca="true" t="shared" si="2" ref="C37:P37">SUM(C39:C45)</f>
        <v>334944942</v>
      </c>
      <c r="D37" s="31">
        <f t="shared" si="2"/>
        <v>0</v>
      </c>
      <c r="E37" s="31">
        <f t="shared" si="2"/>
        <v>1310000</v>
      </c>
      <c r="F37" s="31">
        <f t="shared" si="2"/>
        <v>301764790</v>
      </c>
      <c r="G37" s="31">
        <f t="shared" si="2"/>
        <v>29350</v>
      </c>
      <c r="H37" s="31">
        <f t="shared" si="2"/>
        <v>9067000</v>
      </c>
      <c r="I37" s="31">
        <f t="shared" si="2"/>
        <v>15140953</v>
      </c>
      <c r="J37" s="31">
        <f t="shared" si="2"/>
        <v>270164</v>
      </c>
      <c r="K37" s="31">
        <f t="shared" si="2"/>
        <v>0</v>
      </c>
      <c r="L37" s="31">
        <f t="shared" si="2"/>
        <v>62685</v>
      </c>
      <c r="M37" s="31">
        <f t="shared" si="2"/>
        <v>6000000</v>
      </c>
      <c r="N37" s="31">
        <f t="shared" si="2"/>
        <v>1300000</v>
      </c>
      <c r="O37" s="32">
        <f t="shared" si="2"/>
        <v>0</v>
      </c>
      <c r="P37" s="34">
        <f t="shared" si="2"/>
        <v>0</v>
      </c>
    </row>
    <row r="38" spans="1:16" s="45" customFormat="1" ht="8.25" customHeight="1" thickBot="1">
      <c r="A38" s="36"/>
      <c r="B38" s="37"/>
      <c r="C38" s="38"/>
      <c r="D38" s="39"/>
      <c r="E38" s="40"/>
      <c r="F38" s="41"/>
      <c r="G38" s="42"/>
      <c r="H38" s="41"/>
      <c r="I38" s="41"/>
      <c r="J38" s="43"/>
      <c r="K38" s="41"/>
      <c r="L38" s="41"/>
      <c r="M38" s="40"/>
      <c r="N38" s="40"/>
      <c r="O38" s="41"/>
      <c r="P38" s="44"/>
    </row>
    <row r="39" spans="1:16" s="69" customFormat="1" ht="21" customHeight="1">
      <c r="A39" s="81" t="s">
        <v>80</v>
      </c>
      <c r="B39" s="82" t="s">
        <v>81</v>
      </c>
      <c r="C39" s="83">
        <f aca="true" t="shared" si="3" ref="C39:C45">SUM(D39:P39)</f>
        <v>21375953</v>
      </c>
      <c r="D39" s="84">
        <v>0</v>
      </c>
      <c r="E39" s="84">
        <v>60000</v>
      </c>
      <c r="F39" s="85">
        <v>0</v>
      </c>
      <c r="G39" s="84">
        <v>0</v>
      </c>
      <c r="H39" s="86">
        <v>0</v>
      </c>
      <c r="I39" s="84">
        <f>9386970+4690820+938163</f>
        <v>15015953</v>
      </c>
      <c r="J39" s="86">
        <v>0</v>
      </c>
      <c r="K39" s="85">
        <v>0</v>
      </c>
      <c r="L39" s="85">
        <v>0</v>
      </c>
      <c r="M39" s="84">
        <v>6000000</v>
      </c>
      <c r="N39" s="84">
        <f>300000</f>
        <v>300000</v>
      </c>
      <c r="O39" s="86">
        <v>0</v>
      </c>
      <c r="P39" s="87">
        <v>0</v>
      </c>
    </row>
    <row r="40" spans="1:16" s="7" customFormat="1" ht="21" customHeight="1">
      <c r="A40" s="63" t="s">
        <v>82</v>
      </c>
      <c r="B40" s="64" t="s">
        <v>83</v>
      </c>
      <c r="C40" s="57">
        <f t="shared" si="3"/>
        <v>250000</v>
      </c>
      <c r="D40" s="65">
        <v>0</v>
      </c>
      <c r="E40" s="65">
        <v>250000</v>
      </c>
      <c r="F40" s="70">
        <v>0</v>
      </c>
      <c r="G40" s="65">
        <v>0</v>
      </c>
      <c r="H40" s="67">
        <v>0</v>
      </c>
      <c r="I40" s="65">
        <v>0</v>
      </c>
      <c r="J40" s="67">
        <v>0</v>
      </c>
      <c r="K40" s="65">
        <v>0</v>
      </c>
      <c r="L40" s="65">
        <v>0</v>
      </c>
      <c r="M40" s="65">
        <v>0</v>
      </c>
      <c r="N40" s="65">
        <v>0</v>
      </c>
      <c r="O40" s="66">
        <v>0</v>
      </c>
      <c r="P40" s="68">
        <v>0</v>
      </c>
    </row>
    <row r="41" spans="1:16" s="7" customFormat="1" ht="21" customHeight="1">
      <c r="A41" s="63" t="s">
        <v>86</v>
      </c>
      <c r="B41" s="64" t="s">
        <v>87</v>
      </c>
      <c r="C41" s="57">
        <f t="shared" si="3"/>
        <v>62685</v>
      </c>
      <c r="D41" s="65">
        <v>0</v>
      </c>
      <c r="E41" s="65">
        <v>0</v>
      </c>
      <c r="F41" s="66">
        <v>0</v>
      </c>
      <c r="G41" s="65">
        <v>0</v>
      </c>
      <c r="H41" s="67">
        <v>0</v>
      </c>
      <c r="I41" s="65">
        <v>0</v>
      </c>
      <c r="J41" s="67">
        <v>0</v>
      </c>
      <c r="K41" s="66">
        <v>0</v>
      </c>
      <c r="L41" s="65">
        <f>58590+4095</f>
        <v>62685</v>
      </c>
      <c r="M41" s="65">
        <v>0</v>
      </c>
      <c r="N41" s="65">
        <v>0</v>
      </c>
      <c r="O41" s="66">
        <v>0</v>
      </c>
      <c r="P41" s="68">
        <v>0</v>
      </c>
    </row>
    <row r="42" spans="1:16" s="69" customFormat="1" ht="21" customHeight="1">
      <c r="A42" s="63" t="s">
        <v>92</v>
      </c>
      <c r="B42" s="64" t="s">
        <v>93</v>
      </c>
      <c r="C42" s="57">
        <f t="shared" si="3"/>
        <v>299722070</v>
      </c>
      <c r="D42" s="65">
        <v>0</v>
      </c>
      <c r="E42" s="65"/>
      <c r="F42" s="66">
        <f>61562693+229002027+81000</f>
        <v>290645720</v>
      </c>
      <c r="G42" s="65">
        <f>9350</f>
        <v>9350</v>
      </c>
      <c r="H42" s="67">
        <f>8625000+442000</f>
        <v>9067000</v>
      </c>
      <c r="I42" s="65">
        <v>0</v>
      </c>
      <c r="J42" s="67">
        <v>0</v>
      </c>
      <c r="K42" s="70">
        <v>0</v>
      </c>
      <c r="L42" s="70">
        <v>0</v>
      </c>
      <c r="M42" s="65">
        <v>0</v>
      </c>
      <c r="N42" s="65">
        <v>0</v>
      </c>
      <c r="O42" s="70">
        <v>0</v>
      </c>
      <c r="P42" s="68">
        <v>0</v>
      </c>
    </row>
    <row r="43" spans="1:16" s="69" customFormat="1" ht="30" customHeight="1">
      <c r="A43" s="63" t="s">
        <v>99</v>
      </c>
      <c r="B43" s="64" t="s">
        <v>19</v>
      </c>
      <c r="C43" s="57">
        <f t="shared" si="3"/>
        <v>1020000</v>
      </c>
      <c r="D43" s="65">
        <v>0</v>
      </c>
      <c r="E43" s="65">
        <v>1000000</v>
      </c>
      <c r="F43" s="70">
        <v>0</v>
      </c>
      <c r="G43" s="65">
        <v>20000</v>
      </c>
      <c r="H43" s="66">
        <v>0</v>
      </c>
      <c r="I43" s="65">
        <v>0</v>
      </c>
      <c r="J43" s="67">
        <v>0</v>
      </c>
      <c r="K43" s="70">
        <v>0</v>
      </c>
      <c r="L43" s="70">
        <v>0</v>
      </c>
      <c r="M43" s="65">
        <v>0</v>
      </c>
      <c r="N43" s="65">
        <v>0</v>
      </c>
      <c r="O43" s="66">
        <v>0</v>
      </c>
      <c r="P43" s="68">
        <v>0</v>
      </c>
    </row>
    <row r="44" spans="1:16" s="69" customFormat="1" ht="30" customHeight="1">
      <c r="A44" s="63" t="s">
        <v>102</v>
      </c>
      <c r="B44" s="64" t="s">
        <v>103</v>
      </c>
      <c r="C44" s="57">
        <f t="shared" si="3"/>
        <v>12119070</v>
      </c>
      <c r="D44" s="65">
        <v>0</v>
      </c>
      <c r="E44" s="65">
        <v>0</v>
      </c>
      <c r="F44" s="70">
        <v>11119070</v>
      </c>
      <c r="G44" s="65">
        <v>0</v>
      </c>
      <c r="H44" s="66">
        <v>0</v>
      </c>
      <c r="I44" s="65">
        <v>0</v>
      </c>
      <c r="J44" s="67">
        <v>0</v>
      </c>
      <c r="K44" s="70">
        <v>0</v>
      </c>
      <c r="L44" s="70">
        <v>0</v>
      </c>
      <c r="M44" s="65">
        <v>0</v>
      </c>
      <c r="N44" s="65">
        <v>1000000</v>
      </c>
      <c r="O44" s="66">
        <v>0</v>
      </c>
      <c r="P44" s="68">
        <v>0</v>
      </c>
    </row>
    <row r="45" spans="1:16" s="69" customFormat="1" ht="59.25" customHeight="1" thickBot="1">
      <c r="A45" s="71" t="s">
        <v>62</v>
      </c>
      <c r="B45" s="72" t="s">
        <v>104</v>
      </c>
      <c r="C45" s="57">
        <f t="shared" si="3"/>
        <v>395164</v>
      </c>
      <c r="D45" s="65">
        <v>0</v>
      </c>
      <c r="E45" s="65">
        <v>0</v>
      </c>
      <c r="F45" s="70">
        <v>0</v>
      </c>
      <c r="G45" s="65">
        <v>0</v>
      </c>
      <c r="H45" s="66">
        <v>0</v>
      </c>
      <c r="I45" s="88">
        <v>125000</v>
      </c>
      <c r="J45" s="67">
        <v>270164</v>
      </c>
      <c r="K45" s="70">
        <v>0</v>
      </c>
      <c r="L45" s="70">
        <v>0</v>
      </c>
      <c r="M45" s="65">
        <v>0</v>
      </c>
      <c r="N45" s="65">
        <v>0</v>
      </c>
      <c r="O45" s="66">
        <v>0</v>
      </c>
      <c r="P45" s="68">
        <v>0</v>
      </c>
    </row>
    <row r="46" spans="1:16" s="93" customFormat="1" ht="29.25" customHeight="1" thickBot="1">
      <c r="A46" s="888" t="s">
        <v>21</v>
      </c>
      <c r="B46" s="889"/>
      <c r="C46" s="89">
        <f aca="true" t="shared" si="4" ref="C46:O46">C13+C37</f>
        <v>1106737908</v>
      </c>
      <c r="D46" s="89">
        <f t="shared" si="4"/>
        <v>538367413</v>
      </c>
      <c r="E46" s="89">
        <f t="shared" si="4"/>
        <v>22079161</v>
      </c>
      <c r="F46" s="90">
        <f t="shared" si="4"/>
        <v>362847634</v>
      </c>
      <c r="G46" s="89">
        <f t="shared" si="4"/>
        <v>40828801</v>
      </c>
      <c r="H46" s="91">
        <f t="shared" si="4"/>
        <v>38534003</v>
      </c>
      <c r="I46" s="89">
        <f t="shared" si="4"/>
        <v>16319996</v>
      </c>
      <c r="J46" s="89">
        <f t="shared" si="4"/>
        <v>988876</v>
      </c>
      <c r="K46" s="89">
        <f t="shared" si="4"/>
        <v>1549027</v>
      </c>
      <c r="L46" s="89">
        <f>L13+L37</f>
        <v>63039</v>
      </c>
      <c r="M46" s="89">
        <f t="shared" si="4"/>
        <v>61516448</v>
      </c>
      <c r="N46" s="89">
        <f t="shared" si="4"/>
        <v>8721777</v>
      </c>
      <c r="O46" s="90">
        <f t="shared" si="4"/>
        <v>11211464</v>
      </c>
      <c r="P46" s="92">
        <f>P13+P37</f>
        <v>3710269</v>
      </c>
    </row>
  </sheetData>
  <sheetProtection password="C25B" sheet="1"/>
  <mergeCells count="21">
    <mergeCell ref="F7:P7"/>
    <mergeCell ref="A4:P4"/>
    <mergeCell ref="A5:P5"/>
    <mergeCell ref="J9:J10"/>
    <mergeCell ref="A7:A10"/>
    <mergeCell ref="B7:B10"/>
    <mergeCell ref="P9:P10"/>
    <mergeCell ref="L9:L10"/>
    <mergeCell ref="O9:O10"/>
    <mergeCell ref="F8:L8"/>
    <mergeCell ref="M8:P8"/>
    <mergeCell ref="A46:B46"/>
    <mergeCell ref="F9:F10"/>
    <mergeCell ref="G9:H9"/>
    <mergeCell ref="I9:I10"/>
    <mergeCell ref="K9:K10"/>
    <mergeCell ref="N9:N10"/>
    <mergeCell ref="M9:M10"/>
    <mergeCell ref="D7:D10"/>
    <mergeCell ref="C7:C10"/>
    <mergeCell ref="E7:E10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60" r:id="rId1"/>
  <rowBreaks count="1" manualBreakCount="1">
    <brk id="58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44"/>
  <sheetViews>
    <sheetView view="pageBreakPreview" zoomScaleSheetLayoutView="100" zoomScalePageLayoutView="0" workbookViewId="0" topLeftCell="A1">
      <selection activeCell="D27" sqref="D27"/>
    </sheetView>
  </sheetViews>
  <sheetFormatPr defaultColWidth="8.796875" defaultRowHeight="14.25"/>
  <cols>
    <col min="1" max="1" width="3.59765625" style="619" customWidth="1"/>
    <col min="2" max="2" width="8" style="142" customWidth="1"/>
    <col min="3" max="3" width="39.19921875" style="142" customWidth="1"/>
    <col min="4" max="4" width="14" style="620" customWidth="1"/>
    <col min="5" max="5" width="1.59765625" style="142" customWidth="1"/>
    <col min="6" max="6" width="44.19921875" style="142" customWidth="1"/>
    <col min="7" max="7" width="13" style="620" customWidth="1"/>
    <col min="8" max="16384" width="9" style="142" customWidth="1"/>
  </cols>
  <sheetData>
    <row r="1" ht="15" customHeight="1">
      <c r="F1" s="141" t="s">
        <v>1029</v>
      </c>
    </row>
    <row r="2" ht="15" customHeight="1">
      <c r="F2" s="141" t="s">
        <v>1030</v>
      </c>
    </row>
    <row r="3" ht="15" customHeight="1">
      <c r="F3" s="141" t="s">
        <v>1031</v>
      </c>
    </row>
    <row r="4" spans="1:32" s="622" customFormat="1" ht="24" customHeight="1">
      <c r="A4" s="1164" t="s">
        <v>1000</v>
      </c>
      <c r="B4" s="1164"/>
      <c r="C4" s="1164"/>
      <c r="D4" s="1164"/>
      <c r="E4" s="1164"/>
      <c r="F4" s="1164"/>
      <c r="G4" s="1164"/>
      <c r="H4" s="621"/>
      <c r="I4" s="621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  <c r="AB4" s="623"/>
      <c r="AC4" s="623"/>
      <c r="AD4" s="623"/>
      <c r="AE4" s="623"/>
      <c r="AF4" s="623"/>
    </row>
    <row r="5" spans="1:32" s="622" customFormat="1" ht="24" customHeight="1">
      <c r="A5" s="1164" t="s">
        <v>200</v>
      </c>
      <c r="B5" s="1164"/>
      <c r="C5" s="1164"/>
      <c r="D5" s="1164"/>
      <c r="E5" s="1164"/>
      <c r="F5" s="1164"/>
      <c r="G5" s="1164"/>
      <c r="H5" s="624"/>
      <c r="I5" s="624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</row>
    <row r="7" ht="24" customHeight="1" thickBot="1">
      <c r="G7" s="625" t="s">
        <v>70</v>
      </c>
    </row>
    <row r="8" spans="1:7" s="626" customFormat="1" ht="18" customHeight="1">
      <c r="A8" s="1165" t="s">
        <v>756</v>
      </c>
      <c r="B8" s="1167" t="s">
        <v>1001</v>
      </c>
      <c r="C8" s="1169" t="s">
        <v>1002</v>
      </c>
      <c r="D8" s="1169"/>
      <c r="E8" s="1169"/>
      <c r="F8" s="1169" t="s">
        <v>1003</v>
      </c>
      <c r="G8" s="1171"/>
    </row>
    <row r="9" spans="1:7" s="630" customFormat="1" ht="21" customHeight="1" thickBot="1">
      <c r="A9" s="1166"/>
      <c r="B9" s="1168"/>
      <c r="C9" s="627" t="s">
        <v>413</v>
      </c>
      <c r="D9" s="628" t="s">
        <v>1004</v>
      </c>
      <c r="E9" s="1170"/>
      <c r="F9" s="627" t="s">
        <v>413</v>
      </c>
      <c r="G9" s="629" t="s">
        <v>1004</v>
      </c>
    </row>
    <row r="10" spans="1:7" s="637" customFormat="1" ht="13.5" thickBot="1">
      <c r="A10" s="631">
        <v>1</v>
      </c>
      <c r="B10" s="632">
        <v>2</v>
      </c>
      <c r="C10" s="633">
        <v>3</v>
      </c>
      <c r="D10" s="634">
        <v>4</v>
      </c>
      <c r="E10" s="635"/>
      <c r="F10" s="633">
        <v>5</v>
      </c>
      <c r="G10" s="636">
        <v>6</v>
      </c>
    </row>
    <row r="11" spans="1:7" ht="10.5" customHeight="1" thickBot="1">
      <c r="A11" s="638"/>
      <c r="B11" s="639"/>
      <c r="C11" s="640"/>
      <c r="D11" s="641"/>
      <c r="E11" s="642"/>
      <c r="F11" s="640"/>
      <c r="G11" s="641"/>
    </row>
    <row r="12" spans="1:7" s="649" customFormat="1" ht="16.5" thickBot="1">
      <c r="A12" s="643"/>
      <c r="B12" s="644"/>
      <c r="C12" s="645" t="s">
        <v>238</v>
      </c>
      <c r="D12" s="646">
        <f>D14+D22+D38+D46+D62+D72+D80+D94+D104+D118</f>
        <v>40529000</v>
      </c>
      <c r="E12" s="647"/>
      <c r="F12" s="645" t="s">
        <v>238</v>
      </c>
      <c r="G12" s="648">
        <f>G14+G22+G38+G46+G62+G72+G80+G94+G104+G118</f>
        <v>40529000</v>
      </c>
    </row>
    <row r="13" spans="1:7" ht="10.5" customHeight="1" thickBot="1">
      <c r="A13" s="638"/>
      <c r="B13" s="650"/>
      <c r="C13" s="640"/>
      <c r="D13" s="641"/>
      <c r="E13" s="642"/>
      <c r="F13" s="640"/>
      <c r="G13" s="641"/>
    </row>
    <row r="14" spans="1:7" s="653" customFormat="1" ht="15" thickBot="1">
      <c r="A14" s="230"/>
      <c r="B14" s="651" t="s">
        <v>78</v>
      </c>
      <c r="C14" s="652" t="s">
        <v>79</v>
      </c>
      <c r="D14" s="197">
        <f>D16</f>
        <v>56000</v>
      </c>
      <c r="E14" s="647"/>
      <c r="F14" s="652" t="s">
        <v>79</v>
      </c>
      <c r="G14" s="198">
        <f>G16</f>
        <v>56000</v>
      </c>
    </row>
    <row r="15" spans="1:7" ht="10.5" customHeight="1">
      <c r="A15" s="654"/>
      <c r="B15" s="655"/>
      <c r="C15" s="656"/>
      <c r="D15" s="657"/>
      <c r="E15" s="642"/>
      <c r="F15" s="656"/>
      <c r="G15" s="657"/>
    </row>
    <row r="16" spans="1:7" s="662" customFormat="1" ht="12.75">
      <c r="A16" s="658"/>
      <c r="B16" s="659" t="s">
        <v>191</v>
      </c>
      <c r="C16" s="660" t="s">
        <v>177</v>
      </c>
      <c r="D16" s="661">
        <f>D18</f>
        <v>56000</v>
      </c>
      <c r="E16" s="642"/>
      <c r="F16" s="660" t="s">
        <v>177</v>
      </c>
      <c r="G16" s="661">
        <f>G18</f>
        <v>56000</v>
      </c>
    </row>
    <row r="17" spans="1:7" ht="10.5" customHeight="1">
      <c r="A17" s="663"/>
      <c r="B17" s="664"/>
      <c r="C17" s="665"/>
      <c r="D17" s="666"/>
      <c r="E17" s="642"/>
      <c r="F17" s="665"/>
      <c r="G17" s="666"/>
    </row>
    <row r="18" spans="1:7" s="670" customFormat="1" ht="13.5">
      <c r="A18" s="667">
        <v>1</v>
      </c>
      <c r="B18" s="1163" t="s">
        <v>1005</v>
      </c>
      <c r="C18" s="1163"/>
      <c r="D18" s="669">
        <f>D20</f>
        <v>56000</v>
      </c>
      <c r="E18" s="642"/>
      <c r="F18" s="668" t="s">
        <v>1005</v>
      </c>
      <c r="G18" s="669">
        <f>G20</f>
        <v>56000</v>
      </c>
    </row>
    <row r="19" spans="1:7" s="670" customFormat="1" ht="10.5" customHeight="1">
      <c r="A19" s="667"/>
      <c r="B19" s="668"/>
      <c r="C19" s="668"/>
      <c r="D19" s="669"/>
      <c r="E19" s="642"/>
      <c r="F19" s="668"/>
      <c r="G19" s="669"/>
    </row>
    <row r="20" spans="1:7" ht="12.75">
      <c r="A20" s="663"/>
      <c r="B20" s="663"/>
      <c r="C20" s="671" t="s">
        <v>1006</v>
      </c>
      <c r="D20" s="666">
        <v>56000</v>
      </c>
      <c r="E20" s="642"/>
      <c r="F20" s="671" t="s">
        <v>236</v>
      </c>
      <c r="G20" s="666">
        <v>56000</v>
      </c>
    </row>
    <row r="21" spans="1:7" ht="10.5" customHeight="1" thickBot="1">
      <c r="A21" s="672"/>
      <c r="B21" s="672"/>
      <c r="C21" s="673"/>
      <c r="D21" s="674"/>
      <c r="E21" s="642"/>
      <c r="F21" s="673"/>
      <c r="G21" s="675"/>
    </row>
    <row r="22" spans="1:7" s="653" customFormat="1" ht="15" thickBot="1">
      <c r="A22" s="230"/>
      <c r="B22" s="651" t="s">
        <v>80</v>
      </c>
      <c r="C22" s="652" t="s">
        <v>81</v>
      </c>
      <c r="D22" s="197">
        <f>D24+D30</f>
        <v>37239000</v>
      </c>
      <c r="E22" s="647"/>
      <c r="F22" s="652" t="s">
        <v>81</v>
      </c>
      <c r="G22" s="198">
        <f>G24+G30</f>
        <v>37239000</v>
      </c>
    </row>
    <row r="23" spans="1:7" ht="10.5" customHeight="1">
      <c r="A23" s="654"/>
      <c r="B23" s="655"/>
      <c r="C23" s="656"/>
      <c r="D23" s="676"/>
      <c r="E23" s="642"/>
      <c r="F23" s="656"/>
      <c r="G23" s="657"/>
    </row>
    <row r="24" spans="1:7" s="662" customFormat="1" ht="12.75">
      <c r="A24" s="658"/>
      <c r="B24" s="659" t="s">
        <v>255</v>
      </c>
      <c r="C24" s="660" t="s">
        <v>135</v>
      </c>
      <c r="D24" s="661">
        <f>D26</f>
        <v>37000000</v>
      </c>
      <c r="E24" s="642"/>
      <c r="F24" s="660" t="s">
        <v>135</v>
      </c>
      <c r="G24" s="661">
        <f>G26</f>
        <v>37000000</v>
      </c>
    </row>
    <row r="25" spans="1:7" ht="10.5" customHeight="1">
      <c r="A25" s="663"/>
      <c r="B25" s="664"/>
      <c r="C25" s="665"/>
      <c r="D25" s="405"/>
      <c r="E25" s="642"/>
      <c r="F25" s="665"/>
      <c r="G25" s="666"/>
    </row>
    <row r="26" spans="1:7" s="680" customFormat="1" ht="27">
      <c r="A26" s="677">
        <v>2</v>
      </c>
      <c r="B26" s="1162" t="s">
        <v>1007</v>
      </c>
      <c r="C26" s="1162"/>
      <c r="D26" s="679">
        <f>D28</f>
        <v>37000000</v>
      </c>
      <c r="E26" s="642"/>
      <c r="F26" s="678" t="s">
        <v>1007</v>
      </c>
      <c r="G26" s="679">
        <f>G28</f>
        <v>37000000</v>
      </c>
    </row>
    <row r="27" spans="1:7" s="662" customFormat="1" ht="10.5" customHeight="1">
      <c r="A27" s="658"/>
      <c r="B27" s="659"/>
      <c r="C27" s="681"/>
      <c r="D27" s="661"/>
      <c r="E27" s="642"/>
      <c r="F27" s="681"/>
      <c r="G27" s="682"/>
    </row>
    <row r="28" spans="1:7" ht="12.75">
      <c r="A28" s="663"/>
      <c r="B28" s="663"/>
      <c r="C28" s="671" t="s">
        <v>1006</v>
      </c>
      <c r="D28" s="666">
        <v>37000000</v>
      </c>
      <c r="E28" s="642"/>
      <c r="F28" s="671" t="s">
        <v>226</v>
      </c>
      <c r="G28" s="666">
        <v>37000000</v>
      </c>
    </row>
    <row r="29" spans="1:7" ht="10.5" customHeight="1">
      <c r="A29" s="663"/>
      <c r="B29" s="664"/>
      <c r="C29" s="665"/>
      <c r="D29" s="405"/>
      <c r="E29" s="642"/>
      <c r="F29" s="665"/>
      <c r="G29" s="666"/>
    </row>
    <row r="30" spans="1:7" s="662" customFormat="1" ht="12.75">
      <c r="A30" s="658"/>
      <c r="B30" s="659" t="s">
        <v>261</v>
      </c>
      <c r="C30" s="660" t="s">
        <v>130</v>
      </c>
      <c r="D30" s="661">
        <f>D32</f>
        <v>239000</v>
      </c>
      <c r="E30" s="642"/>
      <c r="F30" s="660" t="s">
        <v>130</v>
      </c>
      <c r="G30" s="661">
        <f>G32</f>
        <v>239000</v>
      </c>
    </row>
    <row r="31" spans="1:7" ht="10.5" customHeight="1">
      <c r="A31" s="663"/>
      <c r="B31" s="683"/>
      <c r="C31" s="683"/>
      <c r="D31" s="405"/>
      <c r="E31" s="642"/>
      <c r="F31" s="665"/>
      <c r="G31" s="666"/>
    </row>
    <row r="32" spans="1:7" s="680" customFormat="1" ht="13.5">
      <c r="A32" s="677">
        <v>3</v>
      </c>
      <c r="B32" s="1162" t="s">
        <v>1008</v>
      </c>
      <c r="C32" s="1162"/>
      <c r="D32" s="679">
        <f>D34</f>
        <v>239000</v>
      </c>
      <c r="E32" s="642"/>
      <c r="F32" s="678" t="s">
        <v>1008</v>
      </c>
      <c r="G32" s="679">
        <f>G34+G36</f>
        <v>239000</v>
      </c>
    </row>
    <row r="33" spans="1:7" s="662" customFormat="1" ht="10.5" customHeight="1">
      <c r="A33" s="658"/>
      <c r="B33" s="659"/>
      <c r="C33" s="681"/>
      <c r="D33" s="661"/>
      <c r="E33" s="642"/>
      <c r="F33" s="681"/>
      <c r="G33" s="682"/>
    </row>
    <row r="34" spans="1:7" ht="12.75">
      <c r="A34" s="663"/>
      <c r="B34" s="663"/>
      <c r="C34" s="671" t="s">
        <v>1006</v>
      </c>
      <c r="D34" s="666">
        <v>239000</v>
      </c>
      <c r="E34" s="642"/>
      <c r="F34" s="671" t="s">
        <v>236</v>
      </c>
      <c r="G34" s="666">
        <v>152725</v>
      </c>
    </row>
    <row r="35" spans="1:7" ht="10.5" customHeight="1">
      <c r="A35" s="663"/>
      <c r="B35" s="663"/>
      <c r="C35" s="684"/>
      <c r="D35" s="405"/>
      <c r="E35" s="642"/>
      <c r="F35" s="671"/>
      <c r="G35" s="666"/>
    </row>
    <row r="36" spans="1:7" ht="12.75">
      <c r="A36" s="663"/>
      <c r="B36" s="663"/>
      <c r="C36" s="684" t="s">
        <v>649</v>
      </c>
      <c r="D36" s="405" t="s">
        <v>649</v>
      </c>
      <c r="E36" s="642"/>
      <c r="F36" s="671" t="s">
        <v>1009</v>
      </c>
      <c r="G36" s="666">
        <v>86275</v>
      </c>
    </row>
    <row r="37" spans="1:7" ht="10.5" customHeight="1" thickBot="1">
      <c r="A37" s="672"/>
      <c r="B37" s="672"/>
      <c r="C37" s="673"/>
      <c r="D37" s="675"/>
      <c r="E37" s="642"/>
      <c r="F37" s="673"/>
      <c r="G37" s="675"/>
    </row>
    <row r="38" spans="1:7" s="653" customFormat="1" ht="15" thickBot="1">
      <c r="A38" s="230"/>
      <c r="B38" s="651" t="s">
        <v>172</v>
      </c>
      <c r="C38" s="652" t="s">
        <v>173</v>
      </c>
      <c r="D38" s="197">
        <f>D40</f>
        <v>168000</v>
      </c>
      <c r="E38" s="647"/>
      <c r="F38" s="652" t="s">
        <v>173</v>
      </c>
      <c r="G38" s="198">
        <f>G40</f>
        <v>168000</v>
      </c>
    </row>
    <row r="39" spans="1:7" ht="10.5" customHeight="1">
      <c r="A39" s="654"/>
      <c r="B39" s="655"/>
      <c r="C39" s="656"/>
      <c r="D39" s="676"/>
      <c r="E39" s="642"/>
      <c r="F39" s="656"/>
      <c r="G39" s="657"/>
    </row>
    <row r="40" spans="1:7" s="662" customFormat="1" ht="12.75">
      <c r="A40" s="658"/>
      <c r="B40" s="659" t="s">
        <v>263</v>
      </c>
      <c r="C40" s="660" t="s">
        <v>130</v>
      </c>
      <c r="D40" s="661">
        <f>D42</f>
        <v>168000</v>
      </c>
      <c r="E40" s="642"/>
      <c r="F40" s="660" t="s">
        <v>130</v>
      </c>
      <c r="G40" s="661">
        <f>G42</f>
        <v>168000</v>
      </c>
    </row>
    <row r="41" spans="1:7" ht="10.5" customHeight="1">
      <c r="A41" s="663"/>
      <c r="B41" s="664"/>
      <c r="C41" s="665"/>
      <c r="D41" s="405"/>
      <c r="E41" s="642"/>
      <c r="F41" s="665"/>
      <c r="G41" s="666"/>
    </row>
    <row r="42" spans="1:7" s="670" customFormat="1" ht="13.5">
      <c r="A42" s="667">
        <v>4</v>
      </c>
      <c r="B42" s="1163" t="s">
        <v>1010</v>
      </c>
      <c r="C42" s="1163"/>
      <c r="D42" s="669">
        <f>D44</f>
        <v>168000</v>
      </c>
      <c r="E42" s="642"/>
      <c r="F42" s="668" t="s">
        <v>1010</v>
      </c>
      <c r="G42" s="669">
        <f>G44</f>
        <v>168000</v>
      </c>
    </row>
    <row r="43" spans="1:7" s="662" customFormat="1" ht="10.5" customHeight="1">
      <c r="A43" s="658"/>
      <c r="B43" s="659"/>
      <c r="C43" s="681"/>
      <c r="D43" s="661"/>
      <c r="E43" s="642"/>
      <c r="F43" s="681"/>
      <c r="G43" s="682"/>
    </row>
    <row r="44" spans="1:7" ht="12.75">
      <c r="A44" s="663"/>
      <c r="B44" s="663"/>
      <c r="C44" s="671" t="s">
        <v>1006</v>
      </c>
      <c r="D44" s="666">
        <v>168000</v>
      </c>
      <c r="E44" s="642"/>
      <c r="F44" s="671" t="s">
        <v>236</v>
      </c>
      <c r="G44" s="666">
        <v>168000</v>
      </c>
    </row>
    <row r="45" spans="1:7" ht="10.5" customHeight="1" thickBot="1">
      <c r="A45" s="672"/>
      <c r="B45" s="685"/>
      <c r="C45" s="686"/>
      <c r="D45" s="687"/>
      <c r="E45" s="642"/>
      <c r="F45" s="686"/>
      <c r="G45" s="675"/>
    </row>
    <row r="46" spans="1:7" s="653" customFormat="1" ht="15" thickBot="1">
      <c r="A46" s="230"/>
      <c r="B46" s="651" t="s">
        <v>84</v>
      </c>
      <c r="C46" s="652" t="s">
        <v>85</v>
      </c>
      <c r="D46" s="197">
        <f>D48+D56</f>
        <v>344000</v>
      </c>
      <c r="E46" s="647"/>
      <c r="F46" s="652" t="s">
        <v>85</v>
      </c>
      <c r="G46" s="198">
        <f>G48+G56</f>
        <v>344000</v>
      </c>
    </row>
    <row r="47" spans="1:7" ht="10.5" customHeight="1">
      <c r="A47" s="654"/>
      <c r="B47" s="655"/>
      <c r="C47" s="656"/>
      <c r="D47" s="676"/>
      <c r="E47" s="642"/>
      <c r="F47" s="656"/>
      <c r="G47" s="657"/>
    </row>
    <row r="48" spans="1:7" s="662" customFormat="1" ht="12.75">
      <c r="A48" s="658"/>
      <c r="B48" s="659" t="s">
        <v>268</v>
      </c>
      <c r="C48" s="660" t="s">
        <v>139</v>
      </c>
      <c r="D48" s="661">
        <f>D50</f>
        <v>244000</v>
      </c>
      <c r="E48" s="642"/>
      <c r="F48" s="660" t="s">
        <v>139</v>
      </c>
      <c r="G48" s="661">
        <f>G50</f>
        <v>244000</v>
      </c>
    </row>
    <row r="49" spans="1:7" ht="10.5" customHeight="1">
      <c r="A49" s="663"/>
      <c r="B49" s="664"/>
      <c r="C49" s="665"/>
      <c r="D49" s="405"/>
      <c r="E49" s="642"/>
      <c r="F49" s="665"/>
      <c r="G49" s="666"/>
    </row>
    <row r="50" spans="1:7" s="680" customFormat="1" ht="13.5">
      <c r="A50" s="677">
        <v>5</v>
      </c>
      <c r="B50" s="1162" t="s">
        <v>1011</v>
      </c>
      <c r="C50" s="1162"/>
      <c r="D50" s="679">
        <f>D52</f>
        <v>244000</v>
      </c>
      <c r="E50" s="642"/>
      <c r="F50" s="678" t="s">
        <v>1011</v>
      </c>
      <c r="G50" s="679">
        <f>G52+G54</f>
        <v>244000</v>
      </c>
    </row>
    <row r="51" spans="1:7" s="662" customFormat="1" ht="10.5" customHeight="1">
      <c r="A51" s="658"/>
      <c r="B51" s="659"/>
      <c r="C51" s="681"/>
      <c r="D51" s="661"/>
      <c r="E51" s="642"/>
      <c r="F51" s="681"/>
      <c r="G51" s="682"/>
    </row>
    <row r="52" spans="1:7" ht="12.75">
      <c r="A52" s="663"/>
      <c r="B52" s="663"/>
      <c r="C52" s="671" t="s">
        <v>1006</v>
      </c>
      <c r="D52" s="666">
        <v>244000</v>
      </c>
      <c r="E52" s="642"/>
      <c r="F52" s="671" t="s">
        <v>236</v>
      </c>
      <c r="G52" s="666">
        <f>166205+12665+30748+4382</f>
        <v>214000</v>
      </c>
    </row>
    <row r="53" spans="1:7" ht="10.5" customHeight="1">
      <c r="A53" s="663"/>
      <c r="B53" s="663"/>
      <c r="C53" s="671"/>
      <c r="D53" s="666"/>
      <c r="E53" s="642"/>
      <c r="F53" s="671"/>
      <c r="G53" s="666"/>
    </row>
    <row r="54" spans="1:7" ht="12.75">
      <c r="A54" s="663"/>
      <c r="B54" s="663"/>
      <c r="C54" s="684" t="s">
        <v>649</v>
      </c>
      <c r="D54" s="405" t="s">
        <v>649</v>
      </c>
      <c r="E54" s="642"/>
      <c r="F54" s="671" t="s">
        <v>1009</v>
      </c>
      <c r="G54" s="666">
        <v>30000</v>
      </c>
    </row>
    <row r="55" spans="1:7" ht="10.5" customHeight="1">
      <c r="A55" s="663"/>
      <c r="B55" s="664"/>
      <c r="C55" s="665"/>
      <c r="D55" s="405"/>
      <c r="E55" s="642"/>
      <c r="F55" s="665"/>
      <c r="G55" s="666"/>
    </row>
    <row r="56" spans="1:7" s="662" customFormat="1" ht="12.75">
      <c r="A56" s="658"/>
      <c r="B56" s="659" t="s">
        <v>269</v>
      </c>
      <c r="C56" s="660" t="s">
        <v>160</v>
      </c>
      <c r="D56" s="661">
        <f>D58</f>
        <v>100000</v>
      </c>
      <c r="E56" s="642"/>
      <c r="F56" s="660" t="s">
        <v>160</v>
      </c>
      <c r="G56" s="661">
        <f>G58</f>
        <v>100000</v>
      </c>
    </row>
    <row r="57" spans="1:7" ht="10.5" customHeight="1">
      <c r="A57" s="663"/>
      <c r="B57" s="683"/>
      <c r="C57" s="683"/>
      <c r="D57" s="405"/>
      <c r="E57" s="642"/>
      <c r="F57" s="665"/>
      <c r="G57" s="666"/>
    </row>
    <row r="58" spans="1:7" s="680" customFormat="1" ht="13.5">
      <c r="A58" s="677">
        <v>6</v>
      </c>
      <c r="B58" s="1162" t="s">
        <v>1012</v>
      </c>
      <c r="C58" s="1162"/>
      <c r="D58" s="679">
        <f>D60</f>
        <v>100000</v>
      </c>
      <c r="E58" s="642"/>
      <c r="F58" s="678" t="s">
        <v>1012</v>
      </c>
      <c r="G58" s="679">
        <f>G60</f>
        <v>100000</v>
      </c>
    </row>
    <row r="59" spans="1:7" s="662" customFormat="1" ht="10.5" customHeight="1">
      <c r="A59" s="658"/>
      <c r="B59" s="659"/>
      <c r="C59" s="681"/>
      <c r="D59" s="661"/>
      <c r="E59" s="642"/>
      <c r="F59" s="681"/>
      <c r="G59" s="682"/>
    </row>
    <row r="60" spans="1:7" ht="12.75">
      <c r="A60" s="663"/>
      <c r="B60" s="663"/>
      <c r="C60" s="671" t="s">
        <v>1006</v>
      </c>
      <c r="D60" s="666">
        <v>100000</v>
      </c>
      <c r="E60" s="642"/>
      <c r="F60" s="671" t="s">
        <v>226</v>
      </c>
      <c r="G60" s="666">
        <v>100000</v>
      </c>
    </row>
    <row r="61" spans="1:7" ht="10.5" customHeight="1" thickBot="1">
      <c r="A61" s="672"/>
      <c r="B61" s="685"/>
      <c r="C61" s="686"/>
      <c r="D61" s="687"/>
      <c r="E61" s="642"/>
      <c r="F61" s="686"/>
      <c r="G61" s="675"/>
    </row>
    <row r="62" spans="1:7" s="653" customFormat="1" ht="15" thickBot="1">
      <c r="A62" s="230"/>
      <c r="B62" s="651" t="s">
        <v>88</v>
      </c>
      <c r="C62" s="652" t="s">
        <v>89</v>
      </c>
      <c r="D62" s="197">
        <f>D64</f>
        <v>201000</v>
      </c>
      <c r="E62" s="647"/>
      <c r="F62" s="652" t="s">
        <v>89</v>
      </c>
      <c r="G62" s="198">
        <f>G64</f>
        <v>201000</v>
      </c>
    </row>
    <row r="63" spans="1:7" s="662" customFormat="1" ht="10.5" customHeight="1">
      <c r="A63" s="688"/>
      <c r="B63" s="688"/>
      <c r="C63" s="676"/>
      <c r="D63" s="676"/>
      <c r="E63" s="642"/>
      <c r="F63" s="656"/>
      <c r="G63" s="657"/>
    </row>
    <row r="64" spans="1:7" s="662" customFormat="1" ht="12.75">
      <c r="A64" s="658"/>
      <c r="B64" s="659" t="s">
        <v>277</v>
      </c>
      <c r="C64" s="660" t="s">
        <v>169</v>
      </c>
      <c r="D64" s="661">
        <f>D66</f>
        <v>201000</v>
      </c>
      <c r="E64" s="642"/>
      <c r="F64" s="660" t="s">
        <v>169</v>
      </c>
      <c r="G64" s="661">
        <f>G66</f>
        <v>201000</v>
      </c>
    </row>
    <row r="65" spans="1:7" ht="10.5" customHeight="1">
      <c r="A65" s="663"/>
      <c r="B65" s="683"/>
      <c r="C65" s="683"/>
      <c r="D65" s="405"/>
      <c r="E65" s="642"/>
      <c r="F65" s="665"/>
      <c r="G65" s="666"/>
    </row>
    <row r="66" spans="1:7" s="680" customFormat="1" ht="27">
      <c r="A66" s="677">
        <v>7</v>
      </c>
      <c r="B66" s="1162" t="s">
        <v>1013</v>
      </c>
      <c r="C66" s="1162"/>
      <c r="D66" s="679">
        <f>D68</f>
        <v>201000</v>
      </c>
      <c r="E66" s="642"/>
      <c r="F66" s="678" t="s">
        <v>1013</v>
      </c>
      <c r="G66" s="679">
        <f>G68+G70</f>
        <v>201000</v>
      </c>
    </row>
    <row r="67" spans="1:7" s="662" customFormat="1" ht="10.5" customHeight="1">
      <c r="A67" s="658"/>
      <c r="B67" s="659"/>
      <c r="C67" s="681"/>
      <c r="D67" s="661"/>
      <c r="E67" s="642"/>
      <c r="F67" s="681"/>
      <c r="G67" s="682"/>
    </row>
    <row r="68" spans="1:7" ht="12.75">
      <c r="A68" s="663"/>
      <c r="B68" s="663"/>
      <c r="C68" s="671" t="s">
        <v>1006</v>
      </c>
      <c r="D68" s="666">
        <v>201000</v>
      </c>
      <c r="E68" s="642"/>
      <c r="F68" s="671" t="s">
        <v>236</v>
      </c>
      <c r="G68" s="666">
        <f>58509+10058+1433</f>
        <v>70000</v>
      </c>
    </row>
    <row r="69" spans="1:7" ht="10.5" customHeight="1">
      <c r="A69" s="663"/>
      <c r="B69" s="663"/>
      <c r="C69" s="671"/>
      <c r="D69" s="689"/>
      <c r="E69" s="642"/>
      <c r="F69" s="665"/>
      <c r="G69" s="666"/>
    </row>
    <row r="70" spans="1:7" ht="12.75">
      <c r="A70" s="663"/>
      <c r="B70" s="663"/>
      <c r="C70" s="405" t="s">
        <v>649</v>
      </c>
      <c r="D70" s="405" t="s">
        <v>649</v>
      </c>
      <c r="E70" s="642"/>
      <c r="F70" s="671" t="s">
        <v>1009</v>
      </c>
      <c r="G70" s="666">
        <f>50000+5000+5000+50500+20000+500</f>
        <v>131000</v>
      </c>
    </row>
    <row r="71" spans="1:7" ht="10.5" customHeight="1" thickBot="1">
      <c r="A71" s="672"/>
      <c r="B71" s="685"/>
      <c r="C71" s="686"/>
      <c r="D71" s="687"/>
      <c r="E71" s="642"/>
      <c r="F71" s="686"/>
      <c r="G71" s="675"/>
    </row>
    <row r="72" spans="1:7" s="653" customFormat="1" ht="15" thickBot="1">
      <c r="A72" s="230"/>
      <c r="B72" s="651" t="s">
        <v>90</v>
      </c>
      <c r="C72" s="652" t="s">
        <v>91</v>
      </c>
      <c r="D72" s="197">
        <f>D74</f>
        <v>5000</v>
      </c>
      <c r="E72" s="647"/>
      <c r="F72" s="652" t="s">
        <v>91</v>
      </c>
      <c r="G72" s="198">
        <f>G74</f>
        <v>5000</v>
      </c>
    </row>
    <row r="73" spans="1:7" ht="10.5" customHeight="1">
      <c r="A73" s="654"/>
      <c r="B73" s="655"/>
      <c r="C73" s="656"/>
      <c r="D73" s="676"/>
      <c r="E73" s="642"/>
      <c r="F73" s="656"/>
      <c r="G73" s="657"/>
    </row>
    <row r="74" spans="1:7" s="662" customFormat="1" ht="12.75">
      <c r="A74" s="658"/>
      <c r="B74" s="659" t="s">
        <v>279</v>
      </c>
      <c r="C74" s="660" t="s">
        <v>280</v>
      </c>
      <c r="D74" s="661">
        <f>D76</f>
        <v>5000</v>
      </c>
      <c r="E74" s="642"/>
      <c r="F74" s="660" t="s">
        <v>280</v>
      </c>
      <c r="G74" s="661">
        <f>G76</f>
        <v>5000</v>
      </c>
    </row>
    <row r="75" spans="1:7" ht="10.5" customHeight="1">
      <c r="A75" s="663"/>
      <c r="B75" s="664"/>
      <c r="C75" s="665"/>
      <c r="D75" s="405"/>
      <c r="E75" s="642"/>
      <c r="F75" s="665"/>
      <c r="G75" s="666"/>
    </row>
    <row r="76" spans="1:7" s="680" customFormat="1" ht="13.5">
      <c r="A76" s="677">
        <v>8</v>
      </c>
      <c r="B76" s="1162" t="s">
        <v>1014</v>
      </c>
      <c r="C76" s="1162"/>
      <c r="D76" s="679">
        <f>D78</f>
        <v>5000</v>
      </c>
      <c r="E76" s="642"/>
      <c r="F76" s="678" t="s">
        <v>1014</v>
      </c>
      <c r="G76" s="679">
        <f>G78</f>
        <v>5000</v>
      </c>
    </row>
    <row r="77" spans="1:7" s="662" customFormat="1" ht="10.5" customHeight="1">
      <c r="A77" s="658"/>
      <c r="B77" s="659"/>
      <c r="C77" s="681"/>
      <c r="D77" s="661"/>
      <c r="E77" s="642"/>
      <c r="F77" s="681"/>
      <c r="G77" s="682"/>
    </row>
    <row r="78" spans="1:7" ht="12.75">
      <c r="A78" s="663"/>
      <c r="B78" s="663"/>
      <c r="C78" s="671" t="s">
        <v>1006</v>
      </c>
      <c r="D78" s="666">
        <v>5000</v>
      </c>
      <c r="E78" s="642"/>
      <c r="F78" s="671" t="s">
        <v>226</v>
      </c>
      <c r="G78" s="666">
        <v>5000</v>
      </c>
    </row>
    <row r="79" spans="1:7" ht="10.5" customHeight="1" thickBot="1">
      <c r="A79" s="672"/>
      <c r="B79" s="672"/>
      <c r="C79" s="673"/>
      <c r="D79" s="687"/>
      <c r="E79" s="642"/>
      <c r="F79" s="673"/>
      <c r="G79" s="675"/>
    </row>
    <row r="80" spans="1:7" s="653" customFormat="1" ht="15" thickBot="1">
      <c r="A80" s="230"/>
      <c r="B80" s="651" t="s">
        <v>96</v>
      </c>
      <c r="C80" s="652" t="s">
        <v>97</v>
      </c>
      <c r="D80" s="197">
        <f>D82+D88</f>
        <v>28000</v>
      </c>
      <c r="E80" s="647"/>
      <c r="F80" s="652" t="s">
        <v>97</v>
      </c>
      <c r="G80" s="198">
        <f>G82+G88</f>
        <v>28000</v>
      </c>
    </row>
    <row r="81" spans="1:7" ht="10.5" customHeight="1">
      <c r="A81" s="663"/>
      <c r="B81" s="664"/>
      <c r="C81" s="665"/>
      <c r="D81" s="405"/>
      <c r="E81" s="642"/>
      <c r="F81" s="665"/>
      <c r="G81" s="666"/>
    </row>
    <row r="82" spans="1:7" s="662" customFormat="1" ht="38.25">
      <c r="A82" s="658"/>
      <c r="B82" s="659" t="s">
        <v>1015</v>
      </c>
      <c r="C82" s="660" t="s">
        <v>116</v>
      </c>
      <c r="D82" s="661">
        <f>D84</f>
        <v>16000</v>
      </c>
      <c r="E82" s="642"/>
      <c r="F82" s="660" t="s">
        <v>116</v>
      </c>
      <c r="G82" s="661">
        <f>G84</f>
        <v>16000</v>
      </c>
    </row>
    <row r="83" spans="1:7" ht="10.5" customHeight="1">
      <c r="A83" s="663"/>
      <c r="B83" s="664"/>
      <c r="C83" s="665"/>
      <c r="D83" s="405"/>
      <c r="E83" s="642"/>
      <c r="F83" s="665"/>
      <c r="G83" s="666"/>
    </row>
    <row r="84" spans="1:7" s="680" customFormat="1" ht="13.5">
      <c r="A84" s="677">
        <v>9</v>
      </c>
      <c r="B84" s="1162" t="s">
        <v>1016</v>
      </c>
      <c r="C84" s="1162"/>
      <c r="D84" s="679">
        <f>D86</f>
        <v>16000</v>
      </c>
      <c r="E84" s="642"/>
      <c r="F84" s="678" t="s">
        <v>1016</v>
      </c>
      <c r="G84" s="679">
        <f>G86</f>
        <v>16000</v>
      </c>
    </row>
    <row r="85" spans="1:7" s="662" customFormat="1" ht="10.5" customHeight="1">
      <c r="A85" s="658"/>
      <c r="B85" s="659"/>
      <c r="C85" s="681"/>
      <c r="D85" s="661"/>
      <c r="E85" s="642"/>
      <c r="F85" s="681"/>
      <c r="G85" s="682"/>
    </row>
    <row r="86" spans="1:7" ht="12.75">
      <c r="A86" s="663"/>
      <c r="B86" s="663"/>
      <c r="C86" s="671" t="s">
        <v>1006</v>
      </c>
      <c r="D86" s="666">
        <v>16000</v>
      </c>
      <c r="E86" s="642"/>
      <c r="F86" s="671" t="s">
        <v>226</v>
      </c>
      <c r="G86" s="666">
        <v>16000</v>
      </c>
    </row>
    <row r="87" spans="1:7" ht="10.5" customHeight="1">
      <c r="A87" s="654"/>
      <c r="B87" s="655"/>
      <c r="C87" s="656"/>
      <c r="D87" s="676"/>
      <c r="E87" s="642"/>
      <c r="F87" s="656"/>
      <c r="G87" s="657"/>
    </row>
    <row r="88" spans="1:7" s="662" customFormat="1" ht="12.75">
      <c r="A88" s="658"/>
      <c r="B88" s="659" t="s">
        <v>913</v>
      </c>
      <c r="C88" s="660" t="s">
        <v>130</v>
      </c>
      <c r="D88" s="661">
        <f>D90</f>
        <v>12000</v>
      </c>
      <c r="E88" s="642"/>
      <c r="F88" s="660" t="s">
        <v>130</v>
      </c>
      <c r="G88" s="661">
        <f>G90</f>
        <v>12000</v>
      </c>
    </row>
    <row r="89" spans="1:7" ht="10.5" customHeight="1">
      <c r="A89" s="663"/>
      <c r="B89" s="664"/>
      <c r="C89" s="665"/>
      <c r="D89" s="405"/>
      <c r="E89" s="642"/>
      <c r="F89" s="665"/>
      <c r="G89" s="666"/>
    </row>
    <row r="90" spans="1:7" s="680" customFormat="1" ht="13.5">
      <c r="A90" s="677">
        <v>10</v>
      </c>
      <c r="B90" s="1162" t="s">
        <v>1017</v>
      </c>
      <c r="C90" s="1162"/>
      <c r="D90" s="679">
        <f>D92</f>
        <v>12000</v>
      </c>
      <c r="E90" s="642"/>
      <c r="F90" s="678" t="s">
        <v>1017</v>
      </c>
      <c r="G90" s="679">
        <f>G92</f>
        <v>12000</v>
      </c>
    </row>
    <row r="91" spans="1:7" s="662" customFormat="1" ht="10.5" customHeight="1">
      <c r="A91" s="658"/>
      <c r="B91" s="659"/>
      <c r="C91" s="681"/>
      <c r="D91" s="661"/>
      <c r="E91" s="642"/>
      <c r="F91" s="681"/>
      <c r="G91" s="682"/>
    </row>
    <row r="92" spans="1:7" ht="12.75">
      <c r="A92" s="663"/>
      <c r="B92" s="663"/>
      <c r="C92" s="671" t="s">
        <v>1006</v>
      </c>
      <c r="D92" s="666">
        <v>12000</v>
      </c>
      <c r="E92" s="690"/>
      <c r="F92" s="671" t="s">
        <v>226</v>
      </c>
      <c r="G92" s="666">
        <v>12000</v>
      </c>
    </row>
    <row r="93" spans="1:7" ht="10.5" customHeight="1" thickBot="1">
      <c r="A93" s="691"/>
      <c r="B93" s="692"/>
      <c r="C93" s="693"/>
      <c r="D93" s="694"/>
      <c r="E93" s="695"/>
      <c r="F93" s="693"/>
      <c r="G93" s="696"/>
    </row>
    <row r="94" spans="1:7" s="653" customFormat="1" ht="29.25" thickBot="1">
      <c r="A94" s="230"/>
      <c r="B94" s="651" t="s">
        <v>99</v>
      </c>
      <c r="C94" s="652" t="s">
        <v>118</v>
      </c>
      <c r="D94" s="197">
        <f>D96</f>
        <v>14000</v>
      </c>
      <c r="E94" s="647"/>
      <c r="F94" s="652" t="s">
        <v>118</v>
      </c>
      <c r="G94" s="198">
        <f>G96</f>
        <v>14000</v>
      </c>
    </row>
    <row r="95" spans="1:7" ht="10.5" customHeight="1">
      <c r="A95" s="654"/>
      <c r="B95" s="655"/>
      <c r="C95" s="656"/>
      <c r="D95" s="676"/>
      <c r="E95" s="642"/>
      <c r="F95" s="656"/>
      <c r="G95" s="657"/>
    </row>
    <row r="96" spans="1:7" s="662" customFormat="1" ht="12.75">
      <c r="A96" s="658"/>
      <c r="B96" s="659" t="s">
        <v>784</v>
      </c>
      <c r="C96" s="660" t="s">
        <v>120</v>
      </c>
      <c r="D96" s="661">
        <f>D98</f>
        <v>14000</v>
      </c>
      <c r="E96" s="642"/>
      <c r="F96" s="660" t="s">
        <v>120</v>
      </c>
      <c r="G96" s="661">
        <f>G98</f>
        <v>14000</v>
      </c>
    </row>
    <row r="97" spans="1:7" ht="10.5" customHeight="1">
      <c r="A97" s="663"/>
      <c r="B97" s="664"/>
      <c r="C97" s="665"/>
      <c r="D97" s="405"/>
      <c r="E97" s="642"/>
      <c r="F97" s="665"/>
      <c r="G97" s="666"/>
    </row>
    <row r="98" spans="1:7" s="680" customFormat="1" ht="13.5">
      <c r="A98" s="677">
        <v>11</v>
      </c>
      <c r="B98" s="1162" t="s">
        <v>1018</v>
      </c>
      <c r="C98" s="1162"/>
      <c r="D98" s="679">
        <f>D100</f>
        <v>14000</v>
      </c>
      <c r="E98" s="642"/>
      <c r="F98" s="678" t="s">
        <v>1018</v>
      </c>
      <c r="G98" s="679">
        <f>G100+G102</f>
        <v>14000</v>
      </c>
    </row>
    <row r="99" spans="1:7" s="662" customFormat="1" ht="10.5" customHeight="1">
      <c r="A99" s="658"/>
      <c r="B99" s="659"/>
      <c r="C99" s="681"/>
      <c r="D99" s="661"/>
      <c r="E99" s="642"/>
      <c r="F99" s="681"/>
      <c r="G99" s="682"/>
    </row>
    <row r="100" spans="1:7" ht="12.75">
      <c r="A100" s="663"/>
      <c r="B100" s="663"/>
      <c r="C100" s="671" t="s">
        <v>1006</v>
      </c>
      <c r="D100" s="666">
        <v>14000</v>
      </c>
      <c r="E100" s="642"/>
      <c r="F100" s="671" t="s">
        <v>236</v>
      </c>
      <c r="G100" s="666">
        <v>11000</v>
      </c>
    </row>
    <row r="101" spans="1:7" ht="10.5" customHeight="1">
      <c r="A101" s="663"/>
      <c r="B101" s="664"/>
      <c r="C101" s="665"/>
      <c r="D101" s="666"/>
      <c r="E101" s="642"/>
      <c r="F101" s="665"/>
      <c r="G101" s="666"/>
    </row>
    <row r="102" spans="1:7" s="662" customFormat="1" ht="12.75">
      <c r="A102" s="658"/>
      <c r="B102" s="658"/>
      <c r="C102" s="405" t="s">
        <v>649</v>
      </c>
      <c r="D102" s="405" t="s">
        <v>649</v>
      </c>
      <c r="E102" s="642"/>
      <c r="F102" s="671" t="s">
        <v>1009</v>
      </c>
      <c r="G102" s="666">
        <v>3000</v>
      </c>
    </row>
    <row r="103" spans="1:7" s="662" customFormat="1" ht="10.5" customHeight="1" thickBot="1">
      <c r="A103" s="697"/>
      <c r="B103" s="697"/>
      <c r="C103" s="687"/>
      <c r="D103" s="687"/>
      <c r="E103" s="642"/>
      <c r="F103" s="673"/>
      <c r="G103" s="675"/>
    </row>
    <row r="104" spans="1:7" s="653" customFormat="1" ht="15" thickBot="1">
      <c r="A104" s="230"/>
      <c r="B104" s="651" t="s">
        <v>163</v>
      </c>
      <c r="C104" s="652" t="s">
        <v>164</v>
      </c>
      <c r="D104" s="197">
        <f>D106</f>
        <v>1761000</v>
      </c>
      <c r="E104" s="647"/>
      <c r="F104" s="652" t="s">
        <v>164</v>
      </c>
      <c r="G104" s="198">
        <f>G106</f>
        <v>1761000</v>
      </c>
    </row>
    <row r="105" spans="1:7" ht="10.5" customHeight="1">
      <c r="A105" s="654"/>
      <c r="B105" s="655"/>
      <c r="C105" s="656"/>
      <c r="D105" s="676"/>
      <c r="E105" s="642"/>
      <c r="F105" s="656"/>
      <c r="G105" s="657"/>
    </row>
    <row r="106" spans="1:7" s="662" customFormat="1" ht="12.75">
      <c r="A106" s="658"/>
      <c r="B106" s="659" t="s">
        <v>968</v>
      </c>
      <c r="C106" s="660" t="s">
        <v>170</v>
      </c>
      <c r="D106" s="661">
        <f>D108+D112</f>
        <v>1761000</v>
      </c>
      <c r="E106" s="642"/>
      <c r="F106" s="660" t="s">
        <v>170</v>
      </c>
      <c r="G106" s="661">
        <f>G108+G112</f>
        <v>1761000</v>
      </c>
    </row>
    <row r="107" spans="1:7" ht="10.5" customHeight="1">
      <c r="A107" s="663"/>
      <c r="B107" s="664"/>
      <c r="C107" s="665"/>
      <c r="D107" s="405"/>
      <c r="E107" s="642"/>
      <c r="F107" s="665"/>
      <c r="G107" s="666"/>
    </row>
    <row r="108" spans="1:7" s="680" customFormat="1" ht="27">
      <c r="A108" s="677">
        <v>12</v>
      </c>
      <c r="B108" s="1162" t="s">
        <v>1019</v>
      </c>
      <c r="C108" s="1162"/>
      <c r="D108" s="679">
        <f>D110</f>
        <v>139430</v>
      </c>
      <c r="E108" s="642"/>
      <c r="F108" s="678" t="s">
        <v>1019</v>
      </c>
      <c r="G108" s="679">
        <f>G110</f>
        <v>139430</v>
      </c>
    </row>
    <row r="109" spans="1:7" s="662" customFormat="1" ht="10.5" customHeight="1">
      <c r="A109" s="658"/>
      <c r="B109" s="659"/>
      <c r="C109" s="681"/>
      <c r="D109" s="661"/>
      <c r="E109" s="642"/>
      <c r="F109" s="681"/>
      <c r="G109" s="682"/>
    </row>
    <row r="110" spans="1:7" ht="12.75">
      <c r="A110" s="663"/>
      <c r="B110" s="663"/>
      <c r="C110" s="671" t="s">
        <v>1006</v>
      </c>
      <c r="D110" s="666">
        <v>139430</v>
      </c>
      <c r="E110" s="642"/>
      <c r="F110" s="671" t="s">
        <v>1020</v>
      </c>
      <c r="G110" s="666">
        <v>139430</v>
      </c>
    </row>
    <row r="111" spans="1:7" ht="10.5" customHeight="1">
      <c r="A111" s="663"/>
      <c r="B111" s="664"/>
      <c r="C111" s="665"/>
      <c r="D111" s="405"/>
      <c r="E111" s="642"/>
      <c r="F111" s="665"/>
      <c r="G111" s="666"/>
    </row>
    <row r="112" spans="1:7" s="680" customFormat="1" ht="27">
      <c r="A112" s="677">
        <v>13</v>
      </c>
      <c r="B112" s="1162" t="s">
        <v>1021</v>
      </c>
      <c r="C112" s="1162"/>
      <c r="D112" s="679">
        <f>D114</f>
        <v>1621570</v>
      </c>
      <c r="E112" s="642"/>
      <c r="F112" s="678" t="s">
        <v>1021</v>
      </c>
      <c r="G112" s="679">
        <f>G114+G116</f>
        <v>1621570</v>
      </c>
    </row>
    <row r="113" spans="1:7" s="662" customFormat="1" ht="10.5" customHeight="1">
      <c r="A113" s="658"/>
      <c r="B113" s="659"/>
      <c r="C113" s="681"/>
      <c r="D113" s="661"/>
      <c r="E113" s="642"/>
      <c r="F113" s="681"/>
      <c r="G113" s="682"/>
    </row>
    <row r="114" spans="1:7" ht="12.75">
      <c r="A114" s="663"/>
      <c r="B114" s="663"/>
      <c r="C114" s="671" t="s">
        <v>1006</v>
      </c>
      <c r="D114" s="666">
        <v>1621570</v>
      </c>
      <c r="E114" s="642"/>
      <c r="F114" s="671" t="s">
        <v>236</v>
      </c>
      <c r="G114" s="666">
        <f>1099281+130000+185000+16000</f>
        <v>1430281</v>
      </c>
    </row>
    <row r="115" spans="1:7" ht="10.5" customHeight="1">
      <c r="A115" s="663"/>
      <c r="B115" s="664"/>
      <c r="C115" s="665"/>
      <c r="D115" s="666"/>
      <c r="E115" s="642"/>
      <c r="F115" s="665"/>
      <c r="G115" s="666"/>
    </row>
    <row r="116" spans="1:7" s="662" customFormat="1" ht="12.75">
      <c r="A116" s="658"/>
      <c r="B116" s="658"/>
      <c r="C116" s="405" t="s">
        <v>649</v>
      </c>
      <c r="D116" s="405" t="s">
        <v>649</v>
      </c>
      <c r="E116" s="642"/>
      <c r="F116" s="671" t="s">
        <v>1009</v>
      </c>
      <c r="G116" s="666">
        <f>1000+30000+35000+5000+1000+50000+9500+5328+15000+144+30777+3540+5000</f>
        <v>191289</v>
      </c>
    </row>
    <row r="117" spans="1:7" s="662" customFormat="1" ht="10.5" customHeight="1" thickBot="1">
      <c r="A117" s="698"/>
      <c r="B117" s="698"/>
      <c r="C117" s="694"/>
      <c r="D117" s="694"/>
      <c r="E117" s="635"/>
      <c r="F117" s="699"/>
      <c r="G117" s="696"/>
    </row>
    <row r="118" spans="1:7" s="653" customFormat="1" ht="29.25" thickBot="1">
      <c r="A118" s="230"/>
      <c r="B118" s="651" t="s">
        <v>100</v>
      </c>
      <c r="C118" s="652" t="s">
        <v>101</v>
      </c>
      <c r="D118" s="197">
        <f>D120+D126+D132</f>
        <v>713000</v>
      </c>
      <c r="E118" s="647"/>
      <c r="F118" s="652" t="s">
        <v>101</v>
      </c>
      <c r="G118" s="198">
        <f>G120+G126+G132</f>
        <v>713000</v>
      </c>
    </row>
    <row r="119" spans="1:7" s="653" customFormat="1" ht="10.5" customHeight="1">
      <c r="A119" s="700"/>
      <c r="B119" s="701"/>
      <c r="C119" s="702"/>
      <c r="D119" s="703"/>
      <c r="E119" s="642"/>
      <c r="F119" s="702"/>
      <c r="G119" s="703"/>
    </row>
    <row r="120" spans="1:7" s="662" customFormat="1" ht="12.75">
      <c r="A120" s="658"/>
      <c r="B120" s="659" t="s">
        <v>845</v>
      </c>
      <c r="C120" s="660" t="s">
        <v>123</v>
      </c>
      <c r="D120" s="661">
        <f>D122</f>
        <v>137000</v>
      </c>
      <c r="E120" s="642"/>
      <c r="F120" s="660" t="s">
        <v>123</v>
      </c>
      <c r="G120" s="661">
        <f>G122</f>
        <v>137000</v>
      </c>
    </row>
    <row r="121" spans="1:7" ht="10.5" customHeight="1">
      <c r="A121" s="663"/>
      <c r="B121" s="704"/>
      <c r="C121" s="665"/>
      <c r="D121" s="405"/>
      <c r="E121" s="642"/>
      <c r="F121" s="665"/>
      <c r="G121" s="666"/>
    </row>
    <row r="122" spans="1:7" s="680" customFormat="1" ht="13.5">
      <c r="A122" s="677">
        <v>14</v>
      </c>
      <c r="B122" s="1162" t="s">
        <v>1022</v>
      </c>
      <c r="C122" s="1162"/>
      <c r="D122" s="679">
        <f>D124</f>
        <v>137000</v>
      </c>
      <c r="E122" s="642"/>
      <c r="F122" s="678" t="s">
        <v>1022</v>
      </c>
      <c r="G122" s="679">
        <f>G124</f>
        <v>137000</v>
      </c>
    </row>
    <row r="123" spans="1:7" s="662" customFormat="1" ht="10.5" customHeight="1">
      <c r="A123" s="658"/>
      <c r="B123" s="659"/>
      <c r="C123" s="681"/>
      <c r="D123" s="661"/>
      <c r="E123" s="642"/>
      <c r="F123" s="681"/>
      <c r="G123" s="682"/>
    </row>
    <row r="124" spans="1:7" ht="12.75">
      <c r="A124" s="663"/>
      <c r="B124" s="663"/>
      <c r="C124" s="671" t="s">
        <v>1006</v>
      </c>
      <c r="D124" s="666">
        <v>137000</v>
      </c>
      <c r="E124" s="642"/>
      <c r="F124" s="671" t="s">
        <v>226</v>
      </c>
      <c r="G124" s="666">
        <v>137000</v>
      </c>
    </row>
    <row r="125" spans="1:7" ht="10.5" customHeight="1">
      <c r="A125" s="663"/>
      <c r="B125" s="664"/>
      <c r="C125" s="665"/>
      <c r="D125" s="405"/>
      <c r="E125" s="642"/>
      <c r="F125" s="665"/>
      <c r="G125" s="666"/>
    </row>
    <row r="126" spans="1:7" s="662" customFormat="1" ht="12.75">
      <c r="A126" s="658"/>
      <c r="B126" s="659" t="s">
        <v>1023</v>
      </c>
      <c r="C126" s="660" t="s">
        <v>124</v>
      </c>
      <c r="D126" s="661">
        <f>D128</f>
        <v>59000</v>
      </c>
      <c r="E126" s="642"/>
      <c r="F126" s="660" t="s">
        <v>124</v>
      </c>
      <c r="G126" s="661">
        <f>G128</f>
        <v>59000</v>
      </c>
    </row>
    <row r="127" spans="1:7" ht="10.5" customHeight="1">
      <c r="A127" s="663"/>
      <c r="B127" s="664"/>
      <c r="C127" s="665"/>
      <c r="D127" s="405"/>
      <c r="E127" s="642"/>
      <c r="F127" s="665"/>
      <c r="G127" s="666"/>
    </row>
    <row r="128" spans="1:7" s="680" customFormat="1" ht="13.5">
      <c r="A128" s="677">
        <v>15</v>
      </c>
      <c r="B128" s="1162" t="s">
        <v>1024</v>
      </c>
      <c r="C128" s="1162"/>
      <c r="D128" s="679">
        <f>D130</f>
        <v>59000</v>
      </c>
      <c r="E128" s="642"/>
      <c r="F128" s="678" t="s">
        <v>1024</v>
      </c>
      <c r="G128" s="679">
        <f>G130</f>
        <v>59000</v>
      </c>
    </row>
    <row r="129" spans="1:8" s="662" customFormat="1" ht="10.5" customHeight="1">
      <c r="A129" s="658"/>
      <c r="B129" s="659"/>
      <c r="C129" s="681"/>
      <c r="D129" s="661"/>
      <c r="E129" s="642"/>
      <c r="F129" s="681"/>
      <c r="G129" s="682"/>
      <c r="H129" s="705"/>
    </row>
    <row r="130" spans="1:8" ht="12.75">
      <c r="A130" s="663"/>
      <c r="B130" s="663"/>
      <c r="C130" s="671" t="s">
        <v>1006</v>
      </c>
      <c r="D130" s="666">
        <v>59000</v>
      </c>
      <c r="E130" s="642"/>
      <c r="F130" s="671" t="s">
        <v>226</v>
      </c>
      <c r="G130" s="666">
        <v>59000</v>
      </c>
      <c r="H130" s="706"/>
    </row>
    <row r="131" spans="1:8" ht="10.5" customHeight="1">
      <c r="A131" s="663"/>
      <c r="B131" s="663"/>
      <c r="C131" s="671"/>
      <c r="D131" s="666"/>
      <c r="E131" s="642"/>
      <c r="F131" s="671"/>
      <c r="G131" s="666"/>
      <c r="H131" s="706"/>
    </row>
    <row r="132" spans="1:7" s="662" customFormat="1" ht="12.75">
      <c r="A132" s="658"/>
      <c r="B132" s="659" t="s">
        <v>921</v>
      </c>
      <c r="C132" s="660" t="s">
        <v>130</v>
      </c>
      <c r="D132" s="661">
        <f>D134</f>
        <v>517000</v>
      </c>
      <c r="E132" s="642"/>
      <c r="F132" s="660" t="s">
        <v>130</v>
      </c>
      <c r="G132" s="661">
        <f>G134</f>
        <v>517000</v>
      </c>
    </row>
    <row r="133" spans="1:7" ht="10.5" customHeight="1">
      <c r="A133" s="663"/>
      <c r="B133" s="664"/>
      <c r="C133" s="665"/>
      <c r="D133" s="405"/>
      <c r="E133" s="642"/>
      <c r="F133" s="665"/>
      <c r="G133" s="666"/>
    </row>
    <row r="134" spans="1:7" s="680" customFormat="1" ht="13.5">
      <c r="A134" s="677">
        <v>16</v>
      </c>
      <c r="B134" s="1162" t="s">
        <v>1025</v>
      </c>
      <c r="C134" s="1162"/>
      <c r="D134" s="679">
        <f>D136</f>
        <v>517000</v>
      </c>
      <c r="E134" s="642"/>
      <c r="F134" s="678" t="s">
        <v>1025</v>
      </c>
      <c r="G134" s="679">
        <f>G136</f>
        <v>517000</v>
      </c>
    </row>
    <row r="135" spans="1:8" s="662" customFormat="1" ht="10.5" customHeight="1">
      <c r="A135" s="658"/>
      <c r="B135" s="659"/>
      <c r="C135" s="681"/>
      <c r="D135" s="661"/>
      <c r="E135" s="642"/>
      <c r="F135" s="681"/>
      <c r="G135" s="682"/>
      <c r="H135" s="705"/>
    </row>
    <row r="136" spans="1:8" ht="12.75">
      <c r="A136" s="663"/>
      <c r="B136" s="663"/>
      <c r="C136" s="671" t="s">
        <v>1006</v>
      </c>
      <c r="D136" s="666">
        <v>517000</v>
      </c>
      <c r="E136" s="642"/>
      <c r="F136" s="671" t="s">
        <v>236</v>
      </c>
      <c r="G136" s="666">
        <v>517000</v>
      </c>
      <c r="H136" s="706"/>
    </row>
    <row r="137" spans="1:7" ht="10.5" customHeight="1" thickBot="1">
      <c r="A137" s="672"/>
      <c r="B137" s="685"/>
      <c r="C137" s="686"/>
      <c r="D137" s="687"/>
      <c r="E137" s="642"/>
      <c r="F137" s="686"/>
      <c r="G137" s="675"/>
    </row>
    <row r="138" spans="1:7" s="649" customFormat="1" ht="16.5" thickBot="1">
      <c r="A138" s="643"/>
      <c r="B138" s="644"/>
      <c r="C138" s="645" t="s">
        <v>238</v>
      </c>
      <c r="D138" s="646">
        <f>D12</f>
        <v>40529000</v>
      </c>
      <c r="E138" s="707"/>
      <c r="F138" s="645" t="s">
        <v>238</v>
      </c>
      <c r="G138" s="648">
        <f>G140+G142+G144</f>
        <v>40529000</v>
      </c>
    </row>
    <row r="139" spans="1:7" ht="12.75">
      <c r="A139" s="2"/>
      <c r="C139" s="708"/>
      <c r="D139" s="709"/>
      <c r="E139" s="708"/>
      <c r="F139" s="710" t="s">
        <v>227</v>
      </c>
      <c r="G139" s="711"/>
    </row>
    <row r="140" spans="1:7" ht="12.75">
      <c r="A140" s="2"/>
      <c r="C140" s="712"/>
      <c r="D140" s="713"/>
      <c r="E140" s="714"/>
      <c r="F140" s="671" t="s">
        <v>1026</v>
      </c>
      <c r="G140" s="666">
        <f>G20+G34+G44+G52+G68+G100+G114+G136</f>
        <v>2619006</v>
      </c>
    </row>
    <row r="141" spans="1:7" ht="10.5" customHeight="1">
      <c r="A141" s="2"/>
      <c r="C141" s="715"/>
      <c r="D141" s="713"/>
      <c r="E141" s="714"/>
      <c r="F141" s="665"/>
      <c r="G141" s="666"/>
    </row>
    <row r="142" spans="1:7" ht="12.75">
      <c r="A142" s="2"/>
      <c r="C142" s="712"/>
      <c r="D142" s="713"/>
      <c r="E142" s="714"/>
      <c r="F142" s="671" t="s">
        <v>1027</v>
      </c>
      <c r="G142" s="666">
        <f>G28+G36+G54+G60+G70+G78+G86+G92+G102+G116+G124+G130</f>
        <v>37770564</v>
      </c>
    </row>
    <row r="143" spans="1:7" ht="10.5" customHeight="1">
      <c r="A143" s="2"/>
      <c r="C143" s="715"/>
      <c r="D143" s="713"/>
      <c r="E143" s="714"/>
      <c r="F143" s="665"/>
      <c r="G143" s="666"/>
    </row>
    <row r="144" spans="3:7" ht="12.75">
      <c r="C144" s="712"/>
      <c r="D144" s="713"/>
      <c r="E144" s="714"/>
      <c r="F144" s="671" t="s">
        <v>1028</v>
      </c>
      <c r="G144" s="666">
        <f>G110</f>
        <v>139430</v>
      </c>
    </row>
  </sheetData>
  <sheetProtection password="C25B" sheet="1"/>
  <mergeCells count="23">
    <mergeCell ref="A4:G4"/>
    <mergeCell ref="A5:G5"/>
    <mergeCell ref="A8:A9"/>
    <mergeCell ref="B8:B9"/>
    <mergeCell ref="C8:D8"/>
    <mergeCell ref="E8:E9"/>
    <mergeCell ref="F8:G8"/>
    <mergeCell ref="B18:C18"/>
    <mergeCell ref="B26:C26"/>
    <mergeCell ref="B32:C32"/>
    <mergeCell ref="B42:C42"/>
    <mergeCell ref="B50:C50"/>
    <mergeCell ref="B58:C58"/>
    <mergeCell ref="B112:C112"/>
    <mergeCell ref="B122:C122"/>
    <mergeCell ref="B128:C128"/>
    <mergeCell ref="B134:C134"/>
    <mergeCell ref="B66:C66"/>
    <mergeCell ref="B76:C76"/>
    <mergeCell ref="B84:C84"/>
    <mergeCell ref="B90:C90"/>
    <mergeCell ref="B98:C98"/>
    <mergeCell ref="B108:C108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0" workbookViewId="0" topLeftCell="A1">
      <selection activeCell="A1" sqref="A1:IV16384"/>
    </sheetView>
  </sheetViews>
  <sheetFormatPr defaultColWidth="8.796875" defaultRowHeight="14.25"/>
  <cols>
    <col min="1" max="1" width="3.59765625" style="619" customWidth="1"/>
    <col min="2" max="2" width="7.19921875" style="142" customWidth="1"/>
    <col min="3" max="3" width="36.09765625" style="142" customWidth="1"/>
    <col min="4" max="5" width="12.5" style="142" customWidth="1"/>
    <col min="6" max="6" width="11.3984375" style="142" customWidth="1"/>
    <col min="7" max="7" width="2.09765625" style="142" customWidth="1"/>
    <col min="8" max="8" width="13.09765625" style="142" customWidth="1"/>
    <col min="9" max="9" width="13" style="142" customWidth="1"/>
    <col min="10" max="11" width="11.19921875" style="142" customWidth="1"/>
    <col min="12" max="16384" width="9" style="142" customWidth="1"/>
  </cols>
  <sheetData>
    <row r="1" spans="3:11" ht="12.75">
      <c r="C1" s="712"/>
      <c r="D1" s="714"/>
      <c r="E1" s="714"/>
      <c r="F1" s="714"/>
      <c r="G1" s="714"/>
      <c r="H1" s="706"/>
      <c r="I1" s="706"/>
      <c r="J1" s="706"/>
      <c r="K1" s="706"/>
    </row>
    <row r="2" spans="1:14" s="720" customFormat="1" ht="16.5" customHeight="1">
      <c r="A2" s="1172" t="s">
        <v>1119</v>
      </c>
      <c r="B2" s="1172"/>
      <c r="C2" s="1172"/>
      <c r="D2" s="1172"/>
      <c r="E2" s="1172"/>
      <c r="F2" s="1172"/>
      <c r="G2" s="716"/>
      <c r="H2" s="717"/>
      <c r="I2" s="718"/>
      <c r="J2" s="719"/>
      <c r="K2" s="719"/>
      <c r="L2" s="719"/>
      <c r="M2" s="719"/>
      <c r="N2" s="719"/>
    </row>
    <row r="3" spans="1:14" s="720" customFormat="1" ht="16.5" customHeight="1">
      <c r="A3" s="1172" t="s">
        <v>1120</v>
      </c>
      <c r="B3" s="1172"/>
      <c r="C3" s="1172"/>
      <c r="D3" s="1172"/>
      <c r="E3" s="1172"/>
      <c r="F3" s="1172"/>
      <c r="G3" s="716"/>
      <c r="H3" s="717"/>
      <c r="I3" s="718"/>
      <c r="J3" s="719"/>
      <c r="K3" s="719"/>
      <c r="L3" s="719"/>
      <c r="M3" s="719"/>
      <c r="N3" s="719"/>
    </row>
    <row r="4" spans="1:14" s="725" customFormat="1" ht="16.5" customHeight="1">
      <c r="A4" s="1173"/>
      <c r="B4" s="1173"/>
      <c r="C4" s="1173"/>
      <c r="D4" s="1173"/>
      <c r="E4" s="1173"/>
      <c r="F4" s="1173"/>
      <c r="G4" s="721"/>
      <c r="H4" s="722"/>
      <c r="I4" s="723"/>
      <c r="J4" s="724"/>
      <c r="K4" s="724"/>
      <c r="L4" s="724"/>
      <c r="M4" s="724"/>
      <c r="N4" s="724"/>
    </row>
    <row r="5" spans="1:14" s="720" customFormat="1" ht="13.5" customHeight="1">
      <c r="A5" s="716"/>
      <c r="B5" s="716"/>
      <c r="C5" s="716"/>
      <c r="D5" s="716"/>
      <c r="E5" s="726"/>
      <c r="F5" s="727" t="s">
        <v>70</v>
      </c>
      <c r="G5" s="728"/>
      <c r="H5" s="717"/>
      <c r="I5" s="718"/>
      <c r="J5" s="719"/>
      <c r="K5" s="719"/>
      <c r="L5" s="719"/>
      <c r="M5" s="719"/>
      <c r="N5" s="719"/>
    </row>
    <row r="6" spans="1:14" s="720" customFormat="1" ht="15" customHeight="1">
      <c r="A6" s="1174" t="s">
        <v>756</v>
      </c>
      <c r="B6" s="1174" t="s">
        <v>1121</v>
      </c>
      <c r="C6" s="1174" t="s">
        <v>1122</v>
      </c>
      <c r="D6" s="1174" t="s">
        <v>73</v>
      </c>
      <c r="E6" s="1175" t="s">
        <v>1123</v>
      </c>
      <c r="F6" s="1176"/>
      <c r="G6" s="726"/>
      <c r="H6" s="717"/>
      <c r="I6" s="718"/>
      <c r="J6" s="719"/>
      <c r="K6" s="719"/>
      <c r="L6" s="719"/>
      <c r="M6" s="719"/>
      <c r="N6" s="719"/>
    </row>
    <row r="7" spans="1:14" s="720" customFormat="1" ht="29.25" customHeight="1">
      <c r="A7" s="1073"/>
      <c r="B7" s="1073"/>
      <c r="C7" s="1073"/>
      <c r="D7" s="1073"/>
      <c r="E7" s="426" t="s">
        <v>1124</v>
      </c>
      <c r="F7" s="426" t="s">
        <v>1125</v>
      </c>
      <c r="G7" s="730"/>
      <c r="H7" s="717"/>
      <c r="I7" s="718"/>
      <c r="J7" s="719"/>
      <c r="K7" s="719"/>
      <c r="L7" s="719"/>
      <c r="M7" s="731"/>
      <c r="N7" s="731"/>
    </row>
    <row r="8" spans="1:14" s="720" customFormat="1" ht="16.5" customHeight="1">
      <c r="A8" s="732">
        <v>1</v>
      </c>
      <c r="B8" s="732">
        <v>2</v>
      </c>
      <c r="C8" s="732">
        <v>3</v>
      </c>
      <c r="D8" s="732">
        <v>4</v>
      </c>
      <c r="E8" s="732" t="s">
        <v>1126</v>
      </c>
      <c r="F8" s="732" t="s">
        <v>1127</v>
      </c>
      <c r="G8" s="733"/>
      <c r="H8" s="717"/>
      <c r="I8" s="718"/>
      <c r="J8" s="719"/>
      <c r="K8" s="719"/>
      <c r="L8" s="719"/>
      <c r="M8" s="731"/>
      <c r="N8" s="731"/>
    </row>
    <row r="9" spans="1:14" s="720" customFormat="1" ht="7.5" customHeight="1" thickBot="1">
      <c r="A9" s="729"/>
      <c r="B9" s="729"/>
      <c r="C9" s="729"/>
      <c r="D9" s="729"/>
      <c r="E9" s="729"/>
      <c r="F9" s="729"/>
      <c r="G9" s="730"/>
      <c r="H9" s="717"/>
      <c r="I9" s="718"/>
      <c r="J9" s="719"/>
      <c r="K9" s="719"/>
      <c r="L9" s="719"/>
      <c r="M9" s="731"/>
      <c r="N9" s="731"/>
    </row>
    <row r="10" spans="1:14" s="743" customFormat="1" ht="14.25" thickBot="1">
      <c r="A10" s="734"/>
      <c r="B10" s="735"/>
      <c r="C10" s="460" t="s">
        <v>238</v>
      </c>
      <c r="D10" s="736">
        <f>D12+D18+D24+D30</f>
        <v>148000</v>
      </c>
      <c r="E10" s="736">
        <f>E12+E18+E24+E30</f>
        <v>140600</v>
      </c>
      <c r="F10" s="737">
        <f>F12+F18+F24+F30</f>
        <v>7400</v>
      </c>
      <c r="G10" s="738"/>
      <c r="H10" s="739"/>
      <c r="I10" s="740"/>
      <c r="J10" s="741"/>
      <c r="K10" s="741"/>
      <c r="L10" s="741"/>
      <c r="M10" s="742"/>
      <c r="N10" s="742"/>
    </row>
    <row r="11" spans="1:14" s="743" customFormat="1" ht="7.5" customHeight="1" thickBot="1">
      <c r="A11" s="744"/>
      <c r="B11" s="745"/>
      <c r="C11" s="746"/>
      <c r="D11" s="747"/>
      <c r="E11" s="747"/>
      <c r="F11" s="747"/>
      <c r="G11" s="738"/>
      <c r="H11" s="739"/>
      <c r="I11" s="740"/>
      <c r="J11" s="741"/>
      <c r="K11" s="741"/>
      <c r="L11" s="741"/>
      <c r="M11" s="742"/>
      <c r="N11" s="742"/>
    </row>
    <row r="12" spans="1:14" s="743" customFormat="1" ht="14.25" thickBot="1">
      <c r="A12" s="748"/>
      <c r="B12" s="749" t="s">
        <v>80</v>
      </c>
      <c r="C12" s="460" t="s">
        <v>81</v>
      </c>
      <c r="D12" s="736">
        <f>D14</f>
        <v>100000</v>
      </c>
      <c r="E12" s="736">
        <f>E14</f>
        <v>95000</v>
      </c>
      <c r="F12" s="737">
        <f>F14</f>
        <v>5000</v>
      </c>
      <c r="G12" s="738"/>
      <c r="H12" s="739"/>
      <c r="I12" s="740"/>
      <c r="J12" s="741"/>
      <c r="K12" s="741"/>
      <c r="L12" s="741"/>
      <c r="M12" s="742"/>
      <c r="N12" s="742"/>
    </row>
    <row r="13" spans="1:14" s="743" customFormat="1" ht="7.5" customHeight="1">
      <c r="A13" s="750"/>
      <c r="B13" s="750"/>
      <c r="C13" s="751"/>
      <c r="D13" s="752"/>
      <c r="E13" s="752"/>
      <c r="F13" s="752"/>
      <c r="G13" s="738"/>
      <c r="H13" s="739"/>
      <c r="I13" s="740"/>
      <c r="J13" s="741"/>
      <c r="K13" s="741"/>
      <c r="L13" s="741"/>
      <c r="M13" s="742"/>
      <c r="N13" s="742"/>
    </row>
    <row r="14" spans="1:14" s="743" customFormat="1" ht="27">
      <c r="A14" s="753"/>
      <c r="B14" s="753" t="s">
        <v>261</v>
      </c>
      <c r="C14" s="754" t="s">
        <v>1128</v>
      </c>
      <c r="D14" s="755">
        <f>D16</f>
        <v>100000</v>
      </c>
      <c r="E14" s="755">
        <f>E16</f>
        <v>95000</v>
      </c>
      <c r="F14" s="755">
        <f>F16</f>
        <v>5000</v>
      </c>
      <c r="G14" s="756"/>
      <c r="H14" s="739"/>
      <c r="I14" s="740"/>
      <c r="J14" s="741"/>
      <c r="K14" s="741"/>
      <c r="L14" s="741"/>
      <c r="M14" s="742"/>
      <c r="N14" s="742"/>
    </row>
    <row r="15" spans="1:14" s="743" customFormat="1" ht="7.5" customHeight="1">
      <c r="A15" s="757"/>
      <c r="B15" s="757"/>
      <c r="C15" s="758"/>
      <c r="D15" s="755"/>
      <c r="E15" s="759"/>
      <c r="F15" s="759"/>
      <c r="G15" s="760"/>
      <c r="H15" s="739"/>
      <c r="I15" s="740"/>
      <c r="J15" s="741"/>
      <c r="K15" s="741"/>
      <c r="L15" s="741"/>
      <c r="M15" s="742"/>
      <c r="N15" s="742"/>
    </row>
    <row r="16" spans="1:14" s="720" customFormat="1" ht="12.75">
      <c r="A16" s="761"/>
      <c r="B16" s="761" t="s">
        <v>131</v>
      </c>
      <c r="C16" s="762" t="s">
        <v>132</v>
      </c>
      <c r="D16" s="763">
        <f>E16+F16</f>
        <v>100000</v>
      </c>
      <c r="E16" s="763">
        <v>95000</v>
      </c>
      <c r="F16" s="763">
        <v>5000</v>
      </c>
      <c r="G16" s="764"/>
      <c r="H16" s="717"/>
      <c r="I16" s="718"/>
      <c r="J16" s="719"/>
      <c r="K16" s="719"/>
      <c r="L16" s="719"/>
      <c r="M16" s="731"/>
      <c r="N16" s="731"/>
    </row>
    <row r="17" spans="1:14" s="720" customFormat="1" ht="7.5" customHeight="1" thickBot="1">
      <c r="A17" s="761"/>
      <c r="B17" s="761"/>
      <c r="C17" s="762"/>
      <c r="D17" s="765"/>
      <c r="E17" s="765"/>
      <c r="F17" s="765"/>
      <c r="G17" s="764"/>
      <c r="H17" s="717"/>
      <c r="I17" s="718"/>
      <c r="J17" s="719"/>
      <c r="K17" s="719"/>
      <c r="L17" s="719"/>
      <c r="M17" s="731"/>
      <c r="N17" s="731"/>
    </row>
    <row r="18" spans="1:14" s="743" customFormat="1" ht="14.25" thickBot="1">
      <c r="A18" s="748"/>
      <c r="B18" s="749" t="s">
        <v>172</v>
      </c>
      <c r="C18" s="460" t="s">
        <v>173</v>
      </c>
      <c r="D18" s="736">
        <f>D20</f>
        <v>13000</v>
      </c>
      <c r="E18" s="736">
        <f>E20</f>
        <v>12350</v>
      </c>
      <c r="F18" s="737">
        <f>F20</f>
        <v>650</v>
      </c>
      <c r="G18" s="738"/>
      <c r="H18" s="739"/>
      <c r="I18" s="740"/>
      <c r="J18" s="741"/>
      <c r="K18" s="741"/>
      <c r="L18" s="741"/>
      <c r="M18" s="742"/>
      <c r="N18" s="742"/>
    </row>
    <row r="19" spans="1:14" s="743" customFormat="1" ht="7.5" customHeight="1">
      <c r="A19" s="750"/>
      <c r="B19" s="750"/>
      <c r="C19" s="751"/>
      <c r="D19" s="752"/>
      <c r="E19" s="752"/>
      <c r="F19" s="752"/>
      <c r="G19" s="738"/>
      <c r="H19" s="739"/>
      <c r="I19" s="740"/>
      <c r="J19" s="741"/>
      <c r="K19" s="741"/>
      <c r="L19" s="741"/>
      <c r="M19" s="742"/>
      <c r="N19" s="742"/>
    </row>
    <row r="20" spans="1:14" s="743" customFormat="1" ht="27">
      <c r="A20" s="753"/>
      <c r="B20" s="753" t="s">
        <v>263</v>
      </c>
      <c r="C20" s="754" t="s">
        <v>1129</v>
      </c>
      <c r="D20" s="755">
        <f>D22</f>
        <v>13000</v>
      </c>
      <c r="E20" s="755">
        <f>E22</f>
        <v>12350</v>
      </c>
      <c r="F20" s="755">
        <f>F22</f>
        <v>650</v>
      </c>
      <c r="G20" s="756"/>
      <c r="H20" s="739"/>
      <c r="I20" s="740"/>
      <c r="J20" s="741"/>
      <c r="K20" s="741"/>
      <c r="L20" s="741"/>
      <c r="M20" s="742"/>
      <c r="N20" s="742"/>
    </row>
    <row r="21" spans="1:14" s="743" customFormat="1" ht="7.5" customHeight="1">
      <c r="A21" s="757"/>
      <c r="B21" s="757"/>
      <c r="C21" s="758"/>
      <c r="D21" s="755"/>
      <c r="E21" s="759"/>
      <c r="F21" s="759"/>
      <c r="G21" s="760"/>
      <c r="H21" s="739"/>
      <c r="I21" s="740"/>
      <c r="J21" s="741"/>
      <c r="K21" s="741"/>
      <c r="L21" s="741"/>
      <c r="M21" s="742"/>
      <c r="N21" s="742"/>
    </row>
    <row r="22" spans="1:14" s="720" customFormat="1" ht="12.75">
      <c r="A22" s="761"/>
      <c r="B22" s="761" t="s">
        <v>131</v>
      </c>
      <c r="C22" s="762" t="s">
        <v>132</v>
      </c>
      <c r="D22" s="763">
        <f>E22+F22</f>
        <v>13000</v>
      </c>
      <c r="E22" s="763">
        <v>12350</v>
      </c>
      <c r="F22" s="763">
        <v>650</v>
      </c>
      <c r="G22" s="764"/>
      <c r="H22" s="717"/>
      <c r="I22" s="718"/>
      <c r="J22" s="719"/>
      <c r="K22" s="719"/>
      <c r="L22" s="719"/>
      <c r="M22" s="731"/>
      <c r="N22" s="731"/>
    </row>
    <row r="23" spans="1:14" s="720" customFormat="1" ht="7.5" customHeight="1" thickBot="1">
      <c r="A23" s="761"/>
      <c r="B23" s="761"/>
      <c r="C23" s="762"/>
      <c r="D23" s="763"/>
      <c r="E23" s="763"/>
      <c r="F23" s="763"/>
      <c r="G23" s="764"/>
      <c r="H23" s="717"/>
      <c r="I23" s="718"/>
      <c r="J23" s="719"/>
      <c r="K23" s="719"/>
      <c r="L23" s="719"/>
      <c r="M23" s="731"/>
      <c r="N23" s="731"/>
    </row>
    <row r="24" spans="1:14" s="743" customFormat="1" ht="14.25" thickBot="1">
      <c r="A24" s="748"/>
      <c r="B24" s="749" t="s">
        <v>84</v>
      </c>
      <c r="C24" s="460" t="s">
        <v>85</v>
      </c>
      <c r="D24" s="736">
        <f>D26</f>
        <v>29000</v>
      </c>
      <c r="E24" s="736">
        <f>E26</f>
        <v>27550</v>
      </c>
      <c r="F24" s="737">
        <f>F26</f>
        <v>1450</v>
      </c>
      <c r="G24" s="738"/>
      <c r="H24" s="739"/>
      <c r="I24" s="740"/>
      <c r="J24" s="741"/>
      <c r="K24" s="741"/>
      <c r="L24" s="741"/>
      <c r="M24" s="742"/>
      <c r="N24" s="742"/>
    </row>
    <row r="25" spans="1:14" s="720" customFormat="1" ht="7.5" customHeight="1">
      <c r="A25" s="766"/>
      <c r="B25" s="767"/>
      <c r="C25" s="768"/>
      <c r="D25" s="769"/>
      <c r="E25" s="769"/>
      <c r="F25" s="769"/>
      <c r="G25" s="764"/>
      <c r="H25" s="717"/>
      <c r="I25" s="718"/>
      <c r="J25" s="719"/>
      <c r="K25" s="719"/>
      <c r="L25" s="719"/>
      <c r="M25" s="731"/>
      <c r="N25" s="731"/>
    </row>
    <row r="26" spans="1:14" s="743" customFormat="1" ht="27">
      <c r="A26" s="753"/>
      <c r="B26" s="753" t="s">
        <v>268</v>
      </c>
      <c r="C26" s="754" t="s">
        <v>1130</v>
      </c>
      <c r="D26" s="755">
        <f>D28</f>
        <v>29000</v>
      </c>
      <c r="E26" s="755">
        <f>E28</f>
        <v>27550</v>
      </c>
      <c r="F26" s="755">
        <f>F28</f>
        <v>1450</v>
      </c>
      <c r="G26" s="756"/>
      <c r="H26" s="739"/>
      <c r="I26" s="740"/>
      <c r="J26" s="741"/>
      <c r="K26" s="741"/>
      <c r="L26" s="741"/>
      <c r="M26" s="742"/>
      <c r="N26" s="742"/>
    </row>
    <row r="27" spans="1:14" s="743" customFormat="1" ht="7.5" customHeight="1">
      <c r="A27" s="757"/>
      <c r="B27" s="757"/>
      <c r="C27" s="758"/>
      <c r="D27" s="755"/>
      <c r="E27" s="759"/>
      <c r="F27" s="759"/>
      <c r="G27" s="760"/>
      <c r="H27" s="739"/>
      <c r="I27" s="740"/>
      <c r="J27" s="741"/>
      <c r="K27" s="741"/>
      <c r="L27" s="741"/>
      <c r="M27" s="742"/>
      <c r="N27" s="742"/>
    </row>
    <row r="28" spans="1:14" s="720" customFormat="1" ht="12.75">
      <c r="A28" s="770"/>
      <c r="B28" s="770" t="s">
        <v>29</v>
      </c>
      <c r="C28" s="771" t="s">
        <v>30</v>
      </c>
      <c r="D28" s="763">
        <f>E28+F28</f>
        <v>29000</v>
      </c>
      <c r="E28" s="763">
        <v>27550</v>
      </c>
      <c r="F28" s="763">
        <v>1450</v>
      </c>
      <c r="G28" s="764"/>
      <c r="H28" s="717"/>
      <c r="I28" s="718"/>
      <c r="J28" s="719"/>
      <c r="K28" s="719"/>
      <c r="L28" s="719"/>
      <c r="M28" s="731"/>
      <c r="N28" s="731"/>
    </row>
    <row r="29" spans="1:14" s="720" customFormat="1" ht="7.5" customHeight="1" thickBot="1">
      <c r="A29" s="772"/>
      <c r="B29" s="767"/>
      <c r="C29" s="768"/>
      <c r="D29" s="769"/>
      <c r="E29" s="769"/>
      <c r="F29" s="769"/>
      <c r="G29" s="764"/>
      <c r="H29" s="717"/>
      <c r="I29" s="718"/>
      <c r="J29" s="719"/>
      <c r="K29" s="719"/>
      <c r="L29" s="719"/>
      <c r="M29" s="731"/>
      <c r="N29" s="731"/>
    </row>
    <row r="30" spans="1:14" s="743" customFormat="1" ht="14.25" thickBot="1">
      <c r="A30" s="748"/>
      <c r="B30" s="749" t="s">
        <v>88</v>
      </c>
      <c r="C30" s="460" t="s">
        <v>89</v>
      </c>
      <c r="D30" s="736">
        <f>D32</f>
        <v>6000</v>
      </c>
      <c r="E30" s="736">
        <f>E32</f>
        <v>5700</v>
      </c>
      <c r="F30" s="737">
        <f>F32</f>
        <v>300</v>
      </c>
      <c r="G30" s="738"/>
      <c r="H30" s="739"/>
      <c r="I30" s="740"/>
      <c r="J30" s="741"/>
      <c r="K30" s="741"/>
      <c r="L30" s="741"/>
      <c r="M30" s="742"/>
      <c r="N30" s="742"/>
    </row>
    <row r="31" spans="1:14" s="720" customFormat="1" ht="7.5" customHeight="1">
      <c r="A31" s="761"/>
      <c r="B31" s="761"/>
      <c r="C31" s="762"/>
      <c r="D31" s="763"/>
      <c r="E31" s="763"/>
      <c r="F31" s="763"/>
      <c r="G31" s="764"/>
      <c r="H31" s="717"/>
      <c r="I31" s="718"/>
      <c r="J31" s="719"/>
      <c r="K31" s="719"/>
      <c r="L31" s="719"/>
      <c r="M31" s="731"/>
      <c r="N31" s="731"/>
    </row>
    <row r="32" spans="1:14" s="743" customFormat="1" ht="27">
      <c r="A32" s="753"/>
      <c r="B32" s="753" t="s">
        <v>1131</v>
      </c>
      <c r="C32" s="754" t="s">
        <v>1132</v>
      </c>
      <c r="D32" s="755">
        <f>D34</f>
        <v>6000</v>
      </c>
      <c r="E32" s="755">
        <f>E34</f>
        <v>5700</v>
      </c>
      <c r="F32" s="755">
        <f>F34</f>
        <v>300</v>
      </c>
      <c r="G32" s="756"/>
      <c r="H32" s="739"/>
      <c r="I32" s="740"/>
      <c r="J32" s="741"/>
      <c r="K32" s="741"/>
      <c r="L32" s="741"/>
      <c r="M32" s="742"/>
      <c r="N32" s="742"/>
    </row>
    <row r="33" spans="1:14" s="743" customFormat="1" ht="7.5" customHeight="1">
      <c r="A33" s="757"/>
      <c r="B33" s="757"/>
      <c r="C33" s="758"/>
      <c r="D33" s="755"/>
      <c r="E33" s="759"/>
      <c r="F33" s="759"/>
      <c r="G33" s="760"/>
      <c r="H33" s="739"/>
      <c r="I33" s="740"/>
      <c r="J33" s="741"/>
      <c r="K33" s="741"/>
      <c r="L33" s="741"/>
      <c r="M33" s="742"/>
      <c r="N33" s="742"/>
    </row>
    <row r="34" spans="1:14" s="720" customFormat="1" ht="12.75">
      <c r="A34" s="770"/>
      <c r="B34" s="770" t="s">
        <v>131</v>
      </c>
      <c r="C34" s="771" t="s">
        <v>132</v>
      </c>
      <c r="D34" s="763">
        <f>E34+F34</f>
        <v>6000</v>
      </c>
      <c r="E34" s="763">
        <v>5700</v>
      </c>
      <c r="F34" s="763">
        <v>300</v>
      </c>
      <c r="G34" s="764"/>
      <c r="H34" s="717"/>
      <c r="I34" s="718"/>
      <c r="J34" s="719"/>
      <c r="K34" s="719"/>
      <c r="L34" s="719"/>
      <c r="M34" s="731"/>
      <c r="N34" s="731"/>
    </row>
    <row r="35" spans="1:14" s="720" customFormat="1" ht="7.5" customHeight="1">
      <c r="A35" s="770"/>
      <c r="B35" s="770"/>
      <c r="C35" s="771"/>
      <c r="D35" s="763"/>
      <c r="E35" s="763"/>
      <c r="F35" s="763"/>
      <c r="G35" s="764"/>
      <c r="H35" s="717"/>
      <c r="I35" s="718"/>
      <c r="J35" s="719"/>
      <c r="K35" s="719"/>
      <c r="L35" s="719"/>
      <c r="M35" s="731"/>
      <c r="N35" s="731"/>
    </row>
  </sheetData>
  <sheetProtection password="C25B" sheet="1"/>
  <mergeCells count="8">
    <mergeCell ref="A2:F2"/>
    <mergeCell ref="A3:F3"/>
    <mergeCell ref="A4:F4"/>
    <mergeCell ref="A6:A7"/>
    <mergeCell ref="B6:B7"/>
    <mergeCell ref="C6:C7"/>
    <mergeCell ref="D6:D7"/>
    <mergeCell ref="E6:F6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SheetLayoutView="100" zoomScalePageLayoutView="0" workbookViewId="0" topLeftCell="A1">
      <selection activeCell="D18" sqref="D18"/>
    </sheetView>
  </sheetViews>
  <sheetFormatPr defaultColWidth="8" defaultRowHeight="14.25"/>
  <cols>
    <col min="1" max="1" width="5.3984375" style="773" customWidth="1"/>
    <col min="2" max="2" width="7.59765625" style="773" customWidth="1"/>
    <col min="3" max="3" width="16" style="775" customWidth="1"/>
    <col min="4" max="4" width="34.59765625" style="775" customWidth="1"/>
    <col min="5" max="5" width="12.8984375" style="798" customWidth="1"/>
    <col min="6" max="6" width="14.3984375" style="775" customWidth="1"/>
    <col min="7" max="7" width="8.19921875" style="775" bestFit="1" customWidth="1"/>
    <col min="8" max="16384" width="8" style="776" customWidth="1"/>
  </cols>
  <sheetData>
    <row r="1" spans="3:6" ht="15" customHeight="1">
      <c r="C1" s="774"/>
      <c r="D1" s="774"/>
      <c r="E1" s="1188" t="s">
        <v>1032</v>
      </c>
      <c r="F1" s="1188"/>
    </row>
    <row r="2" spans="3:6" ht="15" customHeight="1">
      <c r="C2" s="774"/>
      <c r="D2" s="774"/>
      <c r="E2" s="1189" t="s">
        <v>1033</v>
      </c>
      <c r="F2" s="1189"/>
    </row>
    <row r="3" spans="5:6" ht="15.75" customHeight="1">
      <c r="E3" s="1189" t="s">
        <v>1034</v>
      </c>
      <c r="F3" s="1189"/>
    </row>
    <row r="4" spans="5:6" ht="16.5" customHeight="1">
      <c r="E4" s="774"/>
      <c r="F4" s="774"/>
    </row>
    <row r="5" spans="5:6" ht="16.5" customHeight="1">
      <c r="E5" s="774"/>
      <c r="F5" s="774"/>
    </row>
    <row r="6" spans="5:6" ht="16.5" customHeight="1">
      <c r="E6" s="774"/>
      <c r="F6" s="774"/>
    </row>
    <row r="7" spans="5:6" ht="11.25" customHeight="1">
      <c r="E7" s="774"/>
      <c r="F7" s="774"/>
    </row>
    <row r="8" spans="1:6" ht="18" customHeight="1">
      <c r="A8" s="1190" t="s">
        <v>1035</v>
      </c>
      <c r="B8" s="1190"/>
      <c r="C8" s="1190"/>
      <c r="D8" s="1190"/>
      <c r="E8" s="1190"/>
      <c r="F8" s="1190"/>
    </row>
    <row r="9" spans="1:6" ht="18" customHeight="1">
      <c r="A9" s="1190" t="s">
        <v>1036</v>
      </c>
      <c r="B9" s="1190"/>
      <c r="C9" s="1190"/>
      <c r="D9" s="1190"/>
      <c r="E9" s="1190"/>
      <c r="F9" s="1190"/>
    </row>
    <row r="10" spans="1:6" ht="16.5" customHeight="1">
      <c r="A10" s="1190" t="s">
        <v>200</v>
      </c>
      <c r="B10" s="1190"/>
      <c r="C10" s="1190"/>
      <c r="D10" s="1190"/>
      <c r="E10" s="1190"/>
      <c r="F10" s="1190"/>
    </row>
    <row r="11" spans="5:6" ht="16.5" customHeight="1">
      <c r="E11" s="774"/>
      <c r="F11" s="774"/>
    </row>
    <row r="12" spans="5:6" ht="16.5" customHeight="1">
      <c r="E12" s="774"/>
      <c r="F12" s="774"/>
    </row>
    <row r="13" spans="5:6" ht="11.25" customHeight="1">
      <c r="E13" s="774"/>
      <c r="F13" s="777" t="s">
        <v>70</v>
      </c>
    </row>
    <row r="14" spans="1:7" s="780" customFormat="1" ht="25.5" customHeight="1">
      <c r="A14" s="1177" t="s">
        <v>71</v>
      </c>
      <c r="B14" s="1177" t="s">
        <v>757</v>
      </c>
      <c r="C14" s="1179" t="s">
        <v>413</v>
      </c>
      <c r="D14" s="1180"/>
      <c r="E14" s="1181" t="s">
        <v>1037</v>
      </c>
      <c r="F14" s="1183" t="s">
        <v>1038</v>
      </c>
      <c r="G14" s="779"/>
    </row>
    <row r="15" spans="1:7" s="780" customFormat="1" ht="29.25" customHeight="1">
      <c r="A15" s="1178"/>
      <c r="B15" s="1178"/>
      <c r="C15" s="778" t="s">
        <v>1039</v>
      </c>
      <c r="D15" s="778" t="s">
        <v>1040</v>
      </c>
      <c r="E15" s="1182"/>
      <c r="F15" s="1184"/>
      <c r="G15" s="779"/>
    </row>
    <row r="16" spans="1:7" s="785" customFormat="1" ht="11.25">
      <c r="A16" s="781">
        <v>1</v>
      </c>
      <c r="B16" s="781">
        <v>2</v>
      </c>
      <c r="C16" s="782">
        <v>3</v>
      </c>
      <c r="D16" s="782">
        <v>4</v>
      </c>
      <c r="E16" s="783">
        <v>5</v>
      </c>
      <c r="F16" s="782">
        <v>6</v>
      </c>
      <c r="G16" s="784"/>
    </row>
    <row r="17" spans="1:6" s="787" customFormat="1" ht="22.5" customHeight="1">
      <c r="A17" s="1185" t="s">
        <v>238</v>
      </c>
      <c r="B17" s="1186"/>
      <c r="C17" s="1186"/>
      <c r="D17" s="1187"/>
      <c r="E17" s="786">
        <f>E18+E19+E20+E21+E22</f>
        <v>7640000</v>
      </c>
      <c r="F17" s="786">
        <f>F18+F19+F20+F21+F22</f>
        <v>7640000</v>
      </c>
    </row>
    <row r="18" spans="1:7" s="794" customFormat="1" ht="34.5" customHeight="1">
      <c r="A18" s="788" t="s">
        <v>77</v>
      </c>
      <c r="B18" s="788" t="s">
        <v>129</v>
      </c>
      <c r="C18" s="789" t="s">
        <v>1041</v>
      </c>
      <c r="D18" s="790" t="s">
        <v>1042</v>
      </c>
      <c r="E18" s="791">
        <v>4200000</v>
      </c>
      <c r="F18" s="792">
        <v>4200000</v>
      </c>
      <c r="G18" s="793"/>
    </row>
    <row r="19" spans="1:7" s="794" customFormat="1" ht="70.5" customHeight="1">
      <c r="A19" s="795"/>
      <c r="B19" s="795"/>
      <c r="C19" s="789" t="s">
        <v>1041</v>
      </c>
      <c r="D19" s="790" t="s">
        <v>1043</v>
      </c>
      <c r="E19" s="791">
        <v>100000</v>
      </c>
      <c r="F19" s="792">
        <v>100000</v>
      </c>
      <c r="G19" s="793"/>
    </row>
    <row r="20" spans="1:7" s="794" customFormat="1" ht="70.5" customHeight="1">
      <c r="A20" s="796"/>
      <c r="B20" s="796"/>
      <c r="C20" s="789" t="s">
        <v>1041</v>
      </c>
      <c r="D20" s="790" t="s">
        <v>1044</v>
      </c>
      <c r="E20" s="791">
        <v>1200000</v>
      </c>
      <c r="F20" s="792">
        <v>1200000</v>
      </c>
      <c r="G20" s="793"/>
    </row>
    <row r="21" spans="1:7" s="794" customFormat="1" ht="30.75" customHeight="1">
      <c r="A21" s="797" t="s">
        <v>78</v>
      </c>
      <c r="B21" s="797" t="s">
        <v>133</v>
      </c>
      <c r="C21" s="789" t="s">
        <v>1041</v>
      </c>
      <c r="D21" s="790" t="s">
        <v>1045</v>
      </c>
      <c r="E21" s="791">
        <v>640000</v>
      </c>
      <c r="F21" s="792">
        <v>640000</v>
      </c>
      <c r="G21" s="793"/>
    </row>
    <row r="22" spans="1:7" s="794" customFormat="1" ht="45" customHeight="1">
      <c r="A22" s="797" t="s">
        <v>88</v>
      </c>
      <c r="B22" s="797" t="s">
        <v>278</v>
      </c>
      <c r="C22" s="789" t="s">
        <v>1046</v>
      </c>
      <c r="D22" s="790" t="s">
        <v>1047</v>
      </c>
      <c r="E22" s="791">
        <v>1500000</v>
      </c>
      <c r="F22" s="792">
        <v>1500000</v>
      </c>
      <c r="G22" s="793"/>
    </row>
    <row r="23" spans="1:7" s="800" customFormat="1" ht="27" customHeight="1">
      <c r="A23" s="773"/>
      <c r="B23" s="773"/>
      <c r="C23" s="775"/>
      <c r="D23" s="775"/>
      <c r="E23" s="798"/>
      <c r="F23" s="799"/>
      <c r="G23" s="799"/>
    </row>
    <row r="24" ht="21.75" customHeight="1"/>
    <row r="25" spans="1:7" s="800" customFormat="1" ht="27" customHeight="1">
      <c r="A25" s="773"/>
      <c r="B25" s="773"/>
      <c r="C25" s="775"/>
      <c r="D25" s="775"/>
      <c r="E25" s="798"/>
      <c r="F25" s="799"/>
      <c r="G25" s="799"/>
    </row>
    <row r="26" ht="27" customHeight="1"/>
    <row r="27" spans="1:7" s="802" customFormat="1" ht="24.75" customHeight="1">
      <c r="A27" s="773"/>
      <c r="B27" s="773"/>
      <c r="C27" s="775"/>
      <c r="D27" s="775"/>
      <c r="E27" s="798"/>
      <c r="F27" s="801"/>
      <c r="G27" s="801"/>
    </row>
    <row r="28" ht="30" customHeight="1"/>
    <row r="29" ht="30" customHeight="1"/>
    <row r="30" spans="1:7" s="804" customFormat="1" ht="22.5" customHeight="1">
      <c r="A30" s="773"/>
      <c r="B30" s="773"/>
      <c r="C30" s="775"/>
      <c r="D30" s="775"/>
      <c r="E30" s="798"/>
      <c r="F30" s="803"/>
      <c r="G30" s="803"/>
    </row>
    <row r="31" ht="30" customHeight="1"/>
    <row r="32" ht="28.5" customHeight="1"/>
    <row r="33" spans="1:7" s="800" customFormat="1" ht="24.75" customHeight="1">
      <c r="A33" s="773"/>
      <c r="B33" s="773"/>
      <c r="C33" s="775"/>
      <c r="D33" s="775"/>
      <c r="E33" s="798"/>
      <c r="F33" s="799"/>
      <c r="G33" s="799"/>
    </row>
    <row r="34" ht="24.75" customHeight="1"/>
    <row r="35" spans="1:7" s="802" customFormat="1" ht="21" customHeight="1">
      <c r="A35" s="773"/>
      <c r="B35" s="773"/>
      <c r="C35" s="775"/>
      <c r="D35" s="775"/>
      <c r="E35" s="798"/>
      <c r="F35" s="801"/>
      <c r="G35" s="801"/>
    </row>
    <row r="37" ht="9" customHeight="1"/>
    <row r="38" spans="1:5" s="805" customFormat="1" ht="35.25" customHeight="1">
      <c r="A38" s="773"/>
      <c r="B38" s="773"/>
      <c r="C38" s="775"/>
      <c r="D38" s="775"/>
      <c r="E38" s="798"/>
    </row>
    <row r="39" spans="1:7" s="800" customFormat="1" ht="22.5" customHeight="1">
      <c r="A39" s="773"/>
      <c r="B39" s="773"/>
      <c r="C39" s="775"/>
      <c r="D39" s="775"/>
      <c r="E39" s="798"/>
      <c r="F39" s="799"/>
      <c r="G39" s="799"/>
    </row>
    <row r="40" ht="41.25" customHeight="1"/>
    <row r="41" spans="1:5" s="805" customFormat="1" ht="21.75" customHeight="1">
      <c r="A41" s="773"/>
      <c r="B41" s="773"/>
      <c r="C41" s="775"/>
      <c r="D41" s="775"/>
      <c r="E41" s="798"/>
    </row>
    <row r="42" spans="6:7" ht="21.75" customHeight="1">
      <c r="F42" s="776"/>
      <c r="G42" s="776"/>
    </row>
    <row r="43" spans="6:7" ht="24.75" customHeight="1">
      <c r="F43" s="776"/>
      <c r="G43" s="776"/>
    </row>
    <row r="44" spans="6:7" ht="12" customHeight="1">
      <c r="F44" s="776"/>
      <c r="G44" s="776"/>
    </row>
    <row r="45" spans="1:5" s="806" customFormat="1" ht="30.75" customHeight="1">
      <c r="A45" s="773"/>
      <c r="B45" s="773"/>
      <c r="C45" s="775"/>
      <c r="D45" s="775"/>
      <c r="E45" s="798"/>
    </row>
    <row r="46" spans="1:5" s="805" customFormat="1" ht="21.75" customHeight="1">
      <c r="A46" s="773"/>
      <c r="B46" s="773"/>
      <c r="C46" s="775"/>
      <c r="D46" s="775"/>
      <c r="E46" s="798"/>
    </row>
    <row r="47" spans="1:5" s="807" customFormat="1" ht="21.75" customHeight="1">
      <c r="A47" s="773"/>
      <c r="B47" s="773"/>
      <c r="C47" s="775"/>
      <c r="D47" s="775"/>
      <c r="E47" s="798"/>
    </row>
    <row r="48" spans="1:5" s="807" customFormat="1" ht="21.75" customHeight="1">
      <c r="A48" s="773"/>
      <c r="B48" s="773"/>
      <c r="C48" s="775"/>
      <c r="D48" s="775"/>
      <c r="E48" s="798"/>
    </row>
    <row r="50" spans="1:7" s="780" customFormat="1" ht="24" customHeight="1">
      <c r="A50" s="773"/>
      <c r="B50" s="773"/>
      <c r="C50" s="775"/>
      <c r="D50" s="775"/>
      <c r="E50" s="798"/>
      <c r="F50" s="779"/>
      <c r="G50" s="779"/>
    </row>
    <row r="51" spans="1:7" s="780" customFormat="1" ht="24" customHeight="1">
      <c r="A51" s="773"/>
      <c r="B51" s="773"/>
      <c r="C51" s="775"/>
      <c r="D51" s="775"/>
      <c r="E51" s="798"/>
      <c r="F51" s="779"/>
      <c r="G51" s="779"/>
    </row>
    <row r="52" spans="1:7" s="809" customFormat="1" ht="24" customHeight="1">
      <c r="A52" s="773"/>
      <c r="B52" s="773"/>
      <c r="C52" s="775"/>
      <c r="D52" s="775"/>
      <c r="E52" s="798"/>
      <c r="F52" s="808"/>
      <c r="G52" s="808"/>
    </row>
    <row r="53" spans="1:7" s="809" customFormat="1" ht="24" customHeight="1">
      <c r="A53" s="773"/>
      <c r="B53" s="773"/>
      <c r="C53" s="775"/>
      <c r="D53" s="775"/>
      <c r="E53" s="798"/>
      <c r="F53" s="808"/>
      <c r="G53" s="808"/>
    </row>
    <row r="54" spans="1:7" s="780" customFormat="1" ht="21" customHeight="1">
      <c r="A54" s="773"/>
      <c r="B54" s="773"/>
      <c r="C54" s="775"/>
      <c r="D54" s="775"/>
      <c r="E54" s="798"/>
      <c r="F54" s="779"/>
      <c r="G54" s="779"/>
    </row>
    <row r="55" ht="19.5" customHeight="1"/>
    <row r="56" ht="21.75" customHeight="1"/>
  </sheetData>
  <sheetProtection password="C25B" sheet="1"/>
  <mergeCells count="12">
    <mergeCell ref="E1:F1"/>
    <mergeCell ref="E2:F2"/>
    <mergeCell ref="E3:F3"/>
    <mergeCell ref="A8:F8"/>
    <mergeCell ref="A9:F9"/>
    <mergeCell ref="A10:F10"/>
    <mergeCell ref="A14:A15"/>
    <mergeCell ref="B14:B15"/>
    <mergeCell ref="C14:D14"/>
    <mergeCell ref="E14:E15"/>
    <mergeCell ref="F14:F15"/>
    <mergeCell ref="A17:D17"/>
  </mergeCells>
  <printOptions horizontalCentered="1"/>
  <pageMargins left="0.984251968503937" right="0.7086614173228347" top="0.984251968503937" bottom="0.984251968503937" header="0" footer="0.196850393700787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SheetLayoutView="100" zoomScalePageLayoutView="0" workbookViewId="0" topLeftCell="A36">
      <selection activeCell="D38" sqref="D38"/>
    </sheetView>
  </sheetViews>
  <sheetFormatPr defaultColWidth="8" defaultRowHeight="14.25"/>
  <cols>
    <col min="1" max="1" width="4.59765625" style="617" customWidth="1"/>
    <col min="2" max="2" width="6.59765625" style="617" customWidth="1"/>
    <col min="3" max="3" width="15.8984375" style="610" customWidth="1"/>
    <col min="4" max="4" width="42" style="610" customWidth="1"/>
    <col min="5" max="5" width="16.09765625" style="612" customWidth="1"/>
    <col min="6" max="6" width="13.59765625" style="610" customWidth="1"/>
    <col min="7" max="7" width="2.8984375" style="610" customWidth="1"/>
    <col min="8" max="16384" width="8" style="613" customWidth="1"/>
  </cols>
  <sheetData>
    <row r="1" spans="3:6" ht="15" customHeight="1">
      <c r="C1" s="810"/>
      <c r="D1" s="811" t="s">
        <v>1048</v>
      </c>
      <c r="E1" s="811" t="s">
        <v>1049</v>
      </c>
      <c r="F1" s="811"/>
    </row>
    <row r="2" spans="3:6" ht="15" customHeight="1">
      <c r="C2" s="810"/>
      <c r="D2" s="810" t="s">
        <v>1050</v>
      </c>
      <c r="E2" s="1202" t="s">
        <v>333</v>
      </c>
      <c r="F2" s="1202"/>
    </row>
    <row r="3" spans="4:6" ht="17.25" customHeight="1">
      <c r="D3" s="810" t="s">
        <v>1051</v>
      </c>
      <c r="E3" s="810" t="s">
        <v>1052</v>
      </c>
      <c r="F3" s="810"/>
    </row>
    <row r="4" spans="5:6" ht="16.5" customHeight="1">
      <c r="E4" s="810"/>
      <c r="F4" s="810"/>
    </row>
    <row r="5" spans="5:6" ht="11.25" customHeight="1">
      <c r="E5" s="810"/>
      <c r="F5" s="810"/>
    </row>
    <row r="6" spans="1:6" ht="18" customHeight="1">
      <c r="A6" s="1203" t="s">
        <v>1053</v>
      </c>
      <c r="B6" s="1203"/>
      <c r="C6" s="1203"/>
      <c r="D6" s="1203"/>
      <c r="E6" s="1203"/>
      <c r="F6" s="1203"/>
    </row>
    <row r="7" spans="1:6" ht="18" customHeight="1">
      <c r="A7" s="1203" t="s">
        <v>1054</v>
      </c>
      <c r="B7" s="1203"/>
      <c r="C7" s="1203"/>
      <c r="D7" s="1203"/>
      <c r="E7" s="1203"/>
      <c r="F7" s="1203"/>
    </row>
    <row r="8" spans="1:6" ht="16.5" customHeight="1">
      <c r="A8" s="1203" t="s">
        <v>200</v>
      </c>
      <c r="B8" s="1203"/>
      <c r="C8" s="1203"/>
      <c r="D8" s="1203"/>
      <c r="E8" s="1203"/>
      <c r="F8" s="1203"/>
    </row>
    <row r="9" spans="5:6" ht="16.5" customHeight="1">
      <c r="E9" s="810"/>
      <c r="F9" s="810"/>
    </row>
    <row r="10" spans="5:6" ht="16.5" customHeight="1">
      <c r="E10" s="810"/>
      <c r="F10" s="810"/>
    </row>
    <row r="11" spans="5:6" ht="11.25" customHeight="1">
      <c r="E11" s="810"/>
      <c r="F11" s="812" t="s">
        <v>70</v>
      </c>
    </row>
    <row r="12" spans="1:7" s="512" customFormat="1" ht="15.75" customHeight="1">
      <c r="A12" s="1191" t="s">
        <v>71</v>
      </c>
      <c r="B12" s="1191" t="s">
        <v>757</v>
      </c>
      <c r="C12" s="1193" t="s">
        <v>413</v>
      </c>
      <c r="D12" s="1194"/>
      <c r="E12" s="1195" t="s">
        <v>1055</v>
      </c>
      <c r="F12" s="1197" t="s">
        <v>1038</v>
      </c>
      <c r="G12" s="814"/>
    </row>
    <row r="13" spans="1:7" s="512" customFormat="1" ht="38.25" customHeight="1">
      <c r="A13" s="1192"/>
      <c r="B13" s="1192"/>
      <c r="C13" s="813" t="s">
        <v>1056</v>
      </c>
      <c r="D13" s="813" t="s">
        <v>1040</v>
      </c>
      <c r="E13" s="1196"/>
      <c r="F13" s="1198"/>
      <c r="G13" s="814"/>
    </row>
    <row r="14" spans="1:7" s="536" customFormat="1" ht="11.25">
      <c r="A14" s="815">
        <v>1</v>
      </c>
      <c r="B14" s="815">
        <v>2</v>
      </c>
      <c r="C14" s="816">
        <v>3</v>
      </c>
      <c r="D14" s="816">
        <v>4</v>
      </c>
      <c r="E14" s="817">
        <v>5</v>
      </c>
      <c r="F14" s="816">
        <v>6</v>
      </c>
      <c r="G14" s="818"/>
    </row>
    <row r="15" spans="1:6" s="820" customFormat="1" ht="22.5" customHeight="1">
      <c r="A15" s="1199" t="s">
        <v>238</v>
      </c>
      <c r="B15" s="1200"/>
      <c r="C15" s="1200"/>
      <c r="D15" s="1201"/>
      <c r="E15" s="819">
        <f>E17+E18+E19+E20+E21+E22+E23+E24+E25+E26+E27+E28+E29+E30+E31+E32+E33+E34+E35+E36+E37+E38</f>
        <v>25041773</v>
      </c>
      <c r="F15" s="819">
        <f>F17+F18+F19+F20+F21+F22+F23+F24+F25+F26+F27+F28+F29+F30+F31+F32+F33+F34+F35+F36+F37+F38</f>
        <v>269850340</v>
      </c>
    </row>
    <row r="16" spans="1:6" s="820" customFormat="1" ht="9" customHeight="1">
      <c r="A16" s="1199"/>
      <c r="B16" s="1200"/>
      <c r="C16" s="1200"/>
      <c r="D16" s="1200"/>
      <c r="E16" s="1200"/>
      <c r="F16" s="1201"/>
    </row>
    <row r="17" spans="1:7" s="578" customFormat="1" ht="30" customHeight="1">
      <c r="A17" s="821" t="s">
        <v>80</v>
      </c>
      <c r="B17" s="821" t="s">
        <v>253</v>
      </c>
      <c r="C17" s="822" t="s">
        <v>1057</v>
      </c>
      <c r="D17" s="823" t="s">
        <v>934</v>
      </c>
      <c r="E17" s="824">
        <v>210000</v>
      </c>
      <c r="F17" s="825">
        <v>210000</v>
      </c>
      <c r="G17" s="826"/>
    </row>
    <row r="18" spans="1:7" s="578" customFormat="1" ht="30" customHeight="1">
      <c r="A18" s="827"/>
      <c r="B18" s="828"/>
      <c r="C18" s="822" t="s">
        <v>1058</v>
      </c>
      <c r="D18" s="823" t="s">
        <v>934</v>
      </c>
      <c r="E18" s="824">
        <v>2450000</v>
      </c>
      <c r="F18" s="825">
        <v>2450000</v>
      </c>
      <c r="G18" s="826"/>
    </row>
    <row r="19" spans="1:7" s="836" customFormat="1" ht="53.25" customHeight="1">
      <c r="A19" s="829"/>
      <c r="B19" s="830">
        <v>60013</v>
      </c>
      <c r="C19" s="831" t="s">
        <v>1059</v>
      </c>
      <c r="D19" s="832" t="s">
        <v>1060</v>
      </c>
      <c r="E19" s="833">
        <v>300000</v>
      </c>
      <c r="F19" s="834">
        <v>300000</v>
      </c>
      <c r="G19" s="835"/>
    </row>
    <row r="20" spans="1:7" s="836" customFormat="1" ht="84" customHeight="1">
      <c r="A20" s="829"/>
      <c r="B20" s="829"/>
      <c r="C20" s="831" t="s">
        <v>1061</v>
      </c>
      <c r="D20" s="832" t="s">
        <v>1062</v>
      </c>
      <c r="E20" s="833">
        <v>2048463</v>
      </c>
      <c r="F20" s="834">
        <v>6101591</v>
      </c>
      <c r="G20" s="835"/>
    </row>
    <row r="21" spans="1:7" s="836" customFormat="1" ht="67.5" customHeight="1">
      <c r="A21" s="829"/>
      <c r="B21" s="829"/>
      <c r="C21" s="831" t="s">
        <v>1061</v>
      </c>
      <c r="D21" s="832" t="s">
        <v>1063</v>
      </c>
      <c r="E21" s="833">
        <v>1815258</v>
      </c>
      <c r="F21" s="834">
        <v>4468585</v>
      </c>
      <c r="G21" s="835"/>
    </row>
    <row r="22" spans="1:7" s="836" customFormat="1" ht="84.75" customHeight="1">
      <c r="A22" s="829"/>
      <c r="B22" s="829"/>
      <c r="C22" s="831" t="s">
        <v>1061</v>
      </c>
      <c r="D22" s="832" t="s">
        <v>1064</v>
      </c>
      <c r="E22" s="833">
        <v>1765262</v>
      </c>
      <c r="F22" s="834">
        <v>4359803</v>
      </c>
      <c r="G22" s="835"/>
    </row>
    <row r="23" spans="1:7" s="836" customFormat="1" ht="67.5" customHeight="1">
      <c r="A23" s="829"/>
      <c r="B23" s="829"/>
      <c r="C23" s="831" t="s">
        <v>1065</v>
      </c>
      <c r="D23" s="832" t="s">
        <v>1066</v>
      </c>
      <c r="E23" s="833">
        <v>1056000</v>
      </c>
      <c r="F23" s="834">
        <v>22834346</v>
      </c>
      <c r="G23" s="835"/>
    </row>
    <row r="24" spans="1:7" s="836" customFormat="1" ht="39.75" customHeight="1">
      <c r="A24" s="829"/>
      <c r="B24" s="829"/>
      <c r="C24" s="831" t="s">
        <v>1061</v>
      </c>
      <c r="D24" s="832" t="s">
        <v>1067</v>
      </c>
      <c r="E24" s="833">
        <v>1381530</v>
      </c>
      <c r="F24" s="834">
        <v>18009143</v>
      </c>
      <c r="G24" s="835"/>
    </row>
    <row r="25" spans="1:7" s="836" customFormat="1" ht="52.5" customHeight="1">
      <c r="A25" s="829"/>
      <c r="B25" s="829"/>
      <c r="C25" s="831" t="s">
        <v>1065</v>
      </c>
      <c r="D25" s="832" t="s">
        <v>1068</v>
      </c>
      <c r="E25" s="833">
        <v>4371456</v>
      </c>
      <c r="F25" s="834">
        <v>58729654</v>
      </c>
      <c r="G25" s="835"/>
    </row>
    <row r="26" spans="1:7" s="836" customFormat="1" ht="39.75" customHeight="1">
      <c r="A26" s="829"/>
      <c r="B26" s="829"/>
      <c r="C26" s="831" t="s">
        <v>1065</v>
      </c>
      <c r="D26" s="832" t="s">
        <v>1069</v>
      </c>
      <c r="E26" s="833">
        <v>1069440</v>
      </c>
      <c r="F26" s="834">
        <v>41233300</v>
      </c>
      <c r="G26" s="835"/>
    </row>
    <row r="27" spans="1:7" s="836" customFormat="1" ht="39.75" customHeight="1">
      <c r="A27" s="829"/>
      <c r="B27" s="829"/>
      <c r="C27" s="831" t="s">
        <v>1065</v>
      </c>
      <c r="D27" s="832" t="s">
        <v>1070</v>
      </c>
      <c r="E27" s="833">
        <v>1508544</v>
      </c>
      <c r="F27" s="834">
        <v>34978824</v>
      </c>
      <c r="G27" s="835"/>
    </row>
    <row r="28" spans="1:7" s="578" customFormat="1" ht="30" customHeight="1">
      <c r="A28" s="821" t="s">
        <v>86</v>
      </c>
      <c r="B28" s="821" t="s">
        <v>270</v>
      </c>
      <c r="C28" s="822" t="s">
        <v>1065</v>
      </c>
      <c r="D28" s="823" t="s">
        <v>1071</v>
      </c>
      <c r="E28" s="824">
        <v>736617</v>
      </c>
      <c r="F28" s="825">
        <v>2449543</v>
      </c>
      <c r="G28" s="826"/>
    </row>
    <row r="29" spans="1:7" s="578" customFormat="1" ht="30" customHeight="1">
      <c r="A29" s="828"/>
      <c r="B29" s="828"/>
      <c r="C29" s="822" t="s">
        <v>1061</v>
      </c>
      <c r="D29" s="823" t="s">
        <v>1072</v>
      </c>
      <c r="E29" s="824">
        <v>65828</v>
      </c>
      <c r="F29" s="825">
        <v>36892697</v>
      </c>
      <c r="G29" s="826"/>
    </row>
    <row r="30" spans="1:7" s="578" customFormat="1" ht="53.25" customHeight="1">
      <c r="A30" s="821" t="s">
        <v>88</v>
      </c>
      <c r="B30" s="821" t="s">
        <v>276</v>
      </c>
      <c r="C30" s="822" t="s">
        <v>1065</v>
      </c>
      <c r="D30" s="823" t="s">
        <v>1073</v>
      </c>
      <c r="E30" s="824">
        <v>690897</v>
      </c>
      <c r="F30" s="825">
        <v>7190319</v>
      </c>
      <c r="G30" s="826"/>
    </row>
    <row r="31" spans="1:7" s="578" customFormat="1" ht="30" customHeight="1">
      <c r="A31" s="827"/>
      <c r="B31" s="828"/>
      <c r="C31" s="822" t="s">
        <v>1065</v>
      </c>
      <c r="D31" s="823" t="s">
        <v>1074</v>
      </c>
      <c r="E31" s="824">
        <v>422318</v>
      </c>
      <c r="F31" s="825">
        <v>3698064</v>
      </c>
      <c r="G31" s="826"/>
    </row>
    <row r="32" spans="1:7" s="578" customFormat="1" ht="39.75" customHeight="1">
      <c r="A32" s="837" t="s">
        <v>94</v>
      </c>
      <c r="B32" s="837" t="s">
        <v>301</v>
      </c>
      <c r="C32" s="822" t="s">
        <v>1061</v>
      </c>
      <c r="D32" s="823" t="s">
        <v>1075</v>
      </c>
      <c r="E32" s="824">
        <v>680000</v>
      </c>
      <c r="F32" s="825">
        <v>680000</v>
      </c>
      <c r="G32" s="826"/>
    </row>
    <row r="33" spans="1:7" s="578" customFormat="1" ht="30" customHeight="1">
      <c r="A33" s="837" t="s">
        <v>60</v>
      </c>
      <c r="B33" s="837" t="s">
        <v>953</v>
      </c>
      <c r="C33" s="822" t="s">
        <v>1065</v>
      </c>
      <c r="D33" s="823" t="s">
        <v>1076</v>
      </c>
      <c r="E33" s="824">
        <v>77000</v>
      </c>
      <c r="F33" s="825">
        <v>364000</v>
      </c>
      <c r="G33" s="826"/>
    </row>
    <row r="34" spans="1:7" s="578" customFormat="1" ht="30" customHeight="1">
      <c r="A34" s="827" t="s">
        <v>102</v>
      </c>
      <c r="B34" s="838" t="s">
        <v>1077</v>
      </c>
      <c r="C34" s="822" t="s">
        <v>1078</v>
      </c>
      <c r="D34" s="823" t="s">
        <v>1079</v>
      </c>
      <c r="E34" s="824">
        <v>1000000</v>
      </c>
      <c r="F34" s="825">
        <v>2000000</v>
      </c>
      <c r="G34" s="826"/>
    </row>
    <row r="35" spans="1:7" s="578" customFormat="1" ht="30" customHeight="1">
      <c r="A35" s="827"/>
      <c r="B35" s="837" t="s">
        <v>792</v>
      </c>
      <c r="C35" s="822" t="s">
        <v>1080</v>
      </c>
      <c r="D35" s="823" t="s">
        <v>1081</v>
      </c>
      <c r="E35" s="824">
        <v>68160</v>
      </c>
      <c r="F35" s="825">
        <v>841031</v>
      </c>
      <c r="G35" s="826"/>
    </row>
    <row r="36" spans="1:7" s="578" customFormat="1" ht="30" customHeight="1">
      <c r="A36" s="827"/>
      <c r="B36" s="821" t="s">
        <v>897</v>
      </c>
      <c r="C36" s="822" t="s">
        <v>1078</v>
      </c>
      <c r="D36" s="823" t="s">
        <v>1082</v>
      </c>
      <c r="E36" s="824">
        <v>2000000</v>
      </c>
      <c r="F36" s="825">
        <v>10053690</v>
      </c>
      <c r="G36" s="826"/>
    </row>
    <row r="37" spans="1:7" s="578" customFormat="1" ht="30" customHeight="1">
      <c r="A37" s="828"/>
      <c r="B37" s="828"/>
      <c r="C37" s="822" t="s">
        <v>1083</v>
      </c>
      <c r="D37" s="823" t="s">
        <v>1084</v>
      </c>
      <c r="E37" s="824">
        <v>1200000</v>
      </c>
      <c r="F37" s="825">
        <v>8864000</v>
      </c>
      <c r="G37" s="826"/>
    </row>
    <row r="38" spans="1:7" s="578" customFormat="1" ht="53.25" customHeight="1">
      <c r="A38" s="837" t="s">
        <v>62</v>
      </c>
      <c r="B38" s="837" t="s">
        <v>1085</v>
      </c>
      <c r="C38" s="822" t="s">
        <v>1086</v>
      </c>
      <c r="D38" s="823" t="s">
        <v>1087</v>
      </c>
      <c r="E38" s="824">
        <v>125000</v>
      </c>
      <c r="F38" s="825">
        <v>3141750</v>
      </c>
      <c r="G38" s="826"/>
    </row>
    <row r="39" spans="1:13" ht="15">
      <c r="A39" s="607" t="s">
        <v>998</v>
      </c>
      <c r="B39" s="608"/>
      <c r="C39" s="609"/>
      <c r="D39" s="608"/>
      <c r="E39" s="609"/>
      <c r="G39" s="611"/>
      <c r="H39" s="612"/>
      <c r="I39" s="612"/>
      <c r="J39" s="612"/>
      <c r="K39" s="612"/>
      <c r="L39" s="612"/>
      <c r="M39" s="612"/>
    </row>
    <row r="40" spans="1:13" s="500" customFormat="1" ht="20.25" customHeight="1">
      <c r="A40" s="614" t="s">
        <v>1088</v>
      </c>
      <c r="B40" s="615"/>
      <c r="C40" s="616"/>
      <c r="D40" s="615"/>
      <c r="E40" s="616"/>
      <c r="F40" s="506"/>
      <c r="G40" s="509"/>
      <c r="H40" s="839"/>
      <c r="I40" s="839"/>
      <c r="J40" s="839"/>
      <c r="K40" s="839"/>
      <c r="L40" s="839"/>
      <c r="M40" s="839"/>
    </row>
    <row r="41" ht="24.75" customHeight="1"/>
    <row r="42" spans="1:7" s="840" customFormat="1" ht="21" customHeight="1">
      <c r="A42" s="617"/>
      <c r="B42" s="617"/>
      <c r="C42" s="610"/>
      <c r="D42" s="610"/>
      <c r="E42" s="612"/>
      <c r="F42" s="609"/>
      <c r="G42" s="609"/>
    </row>
    <row r="44" ht="9" customHeight="1"/>
    <row r="45" spans="1:5" s="566" customFormat="1" ht="35.25" customHeight="1">
      <c r="A45" s="617"/>
      <c r="B45" s="617"/>
      <c r="C45" s="610"/>
      <c r="D45" s="610"/>
      <c r="E45" s="612"/>
    </row>
    <row r="46" spans="1:7" s="841" customFormat="1" ht="22.5" customHeight="1">
      <c r="A46" s="617"/>
      <c r="B46" s="617"/>
      <c r="C46" s="610"/>
      <c r="D46" s="610"/>
      <c r="E46" s="612"/>
      <c r="F46" s="616"/>
      <c r="G46" s="616"/>
    </row>
    <row r="47" ht="41.25" customHeight="1"/>
    <row r="48" spans="1:5" s="566" customFormat="1" ht="21.75" customHeight="1">
      <c r="A48" s="617"/>
      <c r="B48" s="617"/>
      <c r="C48" s="610"/>
      <c r="D48" s="610"/>
      <c r="E48" s="612"/>
    </row>
    <row r="49" spans="6:7" ht="21.75" customHeight="1">
      <c r="F49" s="613"/>
      <c r="G49" s="613"/>
    </row>
    <row r="50" spans="6:7" ht="24.75" customHeight="1">
      <c r="F50" s="613"/>
      <c r="G50" s="613"/>
    </row>
    <row r="51" spans="6:7" ht="12" customHeight="1">
      <c r="F51" s="613"/>
      <c r="G51" s="613"/>
    </row>
    <row r="52" spans="1:5" s="842" customFormat="1" ht="30.75" customHeight="1">
      <c r="A52" s="617"/>
      <c r="B52" s="617"/>
      <c r="C52" s="610"/>
      <c r="D52" s="610"/>
      <c r="E52" s="612"/>
    </row>
    <row r="53" spans="1:5" s="566" customFormat="1" ht="21.75" customHeight="1">
      <c r="A53" s="617"/>
      <c r="B53" s="617"/>
      <c r="C53" s="610"/>
      <c r="D53" s="610"/>
      <c r="E53" s="612"/>
    </row>
    <row r="54" spans="1:5" s="843" customFormat="1" ht="21.75" customHeight="1">
      <c r="A54" s="617"/>
      <c r="B54" s="617"/>
      <c r="C54" s="610"/>
      <c r="D54" s="610"/>
      <c r="E54" s="612"/>
    </row>
    <row r="55" spans="1:5" s="843" customFormat="1" ht="21.75" customHeight="1">
      <c r="A55" s="617"/>
      <c r="B55" s="617"/>
      <c r="C55" s="610"/>
      <c r="D55" s="610"/>
      <c r="E55" s="612"/>
    </row>
    <row r="57" spans="1:7" s="512" customFormat="1" ht="24" customHeight="1">
      <c r="A57" s="617"/>
      <c r="B57" s="617"/>
      <c r="C57" s="610"/>
      <c r="D57" s="610"/>
      <c r="E57" s="612"/>
      <c r="F57" s="814"/>
      <c r="G57" s="814"/>
    </row>
    <row r="58" spans="1:7" s="512" customFormat="1" ht="24" customHeight="1">
      <c r="A58" s="617"/>
      <c r="B58" s="617"/>
      <c r="C58" s="610"/>
      <c r="D58" s="610"/>
      <c r="E58" s="612"/>
      <c r="F58" s="814"/>
      <c r="G58" s="814"/>
    </row>
    <row r="59" spans="1:7" s="500" customFormat="1" ht="24" customHeight="1">
      <c r="A59" s="617"/>
      <c r="B59" s="617"/>
      <c r="C59" s="610"/>
      <c r="D59" s="610"/>
      <c r="E59" s="612"/>
      <c r="F59" s="506"/>
      <c r="G59" s="506"/>
    </row>
    <row r="60" spans="1:7" s="500" customFormat="1" ht="24" customHeight="1">
      <c r="A60" s="617"/>
      <c r="B60" s="617"/>
      <c r="C60" s="610"/>
      <c r="D60" s="610"/>
      <c r="E60" s="612"/>
      <c r="F60" s="506"/>
      <c r="G60" s="506"/>
    </row>
    <row r="61" spans="1:7" s="512" customFormat="1" ht="21" customHeight="1">
      <c r="A61" s="617"/>
      <c r="B61" s="617"/>
      <c r="C61" s="610"/>
      <c r="D61" s="610"/>
      <c r="E61" s="612"/>
      <c r="F61" s="814"/>
      <c r="G61" s="814"/>
    </row>
    <row r="62" ht="19.5" customHeight="1"/>
    <row r="63" ht="21.75" customHeight="1"/>
  </sheetData>
  <sheetProtection password="C25B" sheet="1"/>
  <mergeCells count="11">
    <mergeCell ref="E2:F2"/>
    <mergeCell ref="A6:F6"/>
    <mergeCell ref="A7:F7"/>
    <mergeCell ref="A8:F8"/>
    <mergeCell ref="A12:A13"/>
    <mergeCell ref="B12:B13"/>
    <mergeCell ref="C12:D12"/>
    <mergeCell ref="E12:E13"/>
    <mergeCell ref="F12:F13"/>
    <mergeCell ref="A15:D15"/>
    <mergeCell ref="A16:F16"/>
  </mergeCells>
  <printOptions horizontalCentered="1"/>
  <pageMargins left="0.7874015748031497" right="0.7086614173228347" top="0.984251968503937" bottom="0.7480314960629921" header="0" footer="0.1968503937007874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8.796875" defaultRowHeight="14.25"/>
  <cols>
    <col min="1" max="1" width="3.8984375" style="852" customWidth="1"/>
    <col min="2" max="2" width="53.5" style="853" customWidth="1"/>
    <col min="3" max="3" width="7.09765625" style="854" customWidth="1"/>
    <col min="4" max="4" width="12" style="854" customWidth="1"/>
    <col min="5" max="6" width="10.19921875" style="855" customWidth="1"/>
    <col min="7" max="7" width="12" style="851" customWidth="1"/>
    <col min="8" max="16384" width="9" style="851" customWidth="1"/>
  </cols>
  <sheetData>
    <row r="1" spans="1:6" s="849" customFormat="1" ht="12.75">
      <c r="A1" s="844"/>
      <c r="B1" s="845"/>
      <c r="C1" s="846"/>
      <c r="D1" s="847"/>
      <c r="E1" s="847" t="s">
        <v>1114</v>
      </c>
      <c r="F1" s="848"/>
    </row>
    <row r="2" spans="1:6" s="849" customFormat="1" ht="12.75">
      <c r="A2" s="844"/>
      <c r="B2" s="845"/>
      <c r="C2" s="846"/>
      <c r="D2" s="850"/>
      <c r="E2" s="850" t="s">
        <v>1089</v>
      </c>
      <c r="F2" s="848"/>
    </row>
    <row r="3" spans="1:6" s="849" customFormat="1" ht="12.75">
      <c r="A3" s="844"/>
      <c r="B3" s="845"/>
      <c r="C3" s="846"/>
      <c r="D3" s="848"/>
      <c r="E3" s="848" t="s">
        <v>1115</v>
      </c>
      <c r="F3" s="848"/>
    </row>
    <row r="4" spans="1:6" s="849" customFormat="1" ht="12.75">
      <c r="A4" s="844"/>
      <c r="B4" s="845"/>
      <c r="C4" s="846"/>
      <c r="D4" s="846"/>
      <c r="E4" s="848"/>
      <c r="F4" s="848"/>
    </row>
    <row r="6" spans="1:7" ht="15.75">
      <c r="A6" s="1204" t="s">
        <v>1090</v>
      </c>
      <c r="B6" s="1204"/>
      <c r="C6" s="1204"/>
      <c r="D6" s="1204"/>
      <c r="E6" s="1204"/>
      <c r="F6" s="1204"/>
      <c r="G6" s="1204"/>
    </row>
    <row r="7" spans="1:7" ht="15.75">
      <c r="A7" s="1204" t="s">
        <v>200</v>
      </c>
      <c r="B7" s="1204"/>
      <c r="C7" s="1204"/>
      <c r="D7" s="1204"/>
      <c r="E7" s="1204"/>
      <c r="F7" s="1204"/>
      <c r="G7" s="1204"/>
    </row>
    <row r="9" ht="12.75">
      <c r="G9" s="856" t="s">
        <v>70</v>
      </c>
    </row>
    <row r="10" spans="1:7" s="858" customFormat="1" ht="44.25" customHeight="1">
      <c r="A10" s="857" t="s">
        <v>412</v>
      </c>
      <c r="B10" s="857" t="s">
        <v>1091</v>
      </c>
      <c r="C10" s="857" t="s">
        <v>757</v>
      </c>
      <c r="D10" s="857" t="s">
        <v>1092</v>
      </c>
      <c r="E10" s="857" t="s">
        <v>415</v>
      </c>
      <c r="F10" s="857" t="s">
        <v>430</v>
      </c>
      <c r="G10" s="857" t="s">
        <v>1093</v>
      </c>
    </row>
    <row r="11" spans="1:7" s="860" customFormat="1" ht="12.75">
      <c r="A11" s="859" t="s">
        <v>1094</v>
      </c>
      <c r="B11" s="859" t="s">
        <v>1095</v>
      </c>
      <c r="C11" s="859" t="s">
        <v>1096</v>
      </c>
      <c r="D11" s="859" t="s">
        <v>1097</v>
      </c>
      <c r="E11" s="859" t="s">
        <v>1098</v>
      </c>
      <c r="F11" s="859" t="s">
        <v>1099</v>
      </c>
      <c r="G11" s="859" t="s">
        <v>1100</v>
      </c>
    </row>
    <row r="12" spans="1:7" s="867" customFormat="1" ht="46.5" customHeight="1">
      <c r="A12" s="861" t="s">
        <v>1094</v>
      </c>
      <c r="B12" s="862" t="s">
        <v>1101</v>
      </c>
      <c r="C12" s="863">
        <v>80147</v>
      </c>
      <c r="D12" s="864">
        <v>0</v>
      </c>
      <c r="E12" s="865">
        <v>33050</v>
      </c>
      <c r="F12" s="865">
        <v>33050</v>
      </c>
      <c r="G12" s="866">
        <f aca="true" t="shared" si="0" ref="G12:G24">D12+E12-F12</f>
        <v>0</v>
      </c>
    </row>
    <row r="13" spans="1:7" s="867" customFormat="1" ht="46.5" customHeight="1">
      <c r="A13" s="861" t="s">
        <v>1095</v>
      </c>
      <c r="B13" s="862" t="s">
        <v>780</v>
      </c>
      <c r="C13" s="863">
        <v>80146</v>
      </c>
      <c r="D13" s="864">
        <v>0</v>
      </c>
      <c r="E13" s="865">
        <v>400000</v>
      </c>
      <c r="F13" s="865">
        <v>400000</v>
      </c>
      <c r="G13" s="866">
        <f t="shared" si="0"/>
        <v>0</v>
      </c>
    </row>
    <row r="14" spans="1:7" s="867" customFormat="1" ht="46.5" customHeight="1">
      <c r="A14" s="861" t="s">
        <v>1096</v>
      </c>
      <c r="B14" s="862" t="s">
        <v>1102</v>
      </c>
      <c r="C14" s="863">
        <v>80146</v>
      </c>
      <c r="D14" s="864">
        <v>0</v>
      </c>
      <c r="E14" s="865">
        <v>320000</v>
      </c>
      <c r="F14" s="865">
        <v>320000</v>
      </c>
      <c r="G14" s="866">
        <f t="shared" si="0"/>
        <v>0</v>
      </c>
    </row>
    <row r="15" spans="1:7" s="867" customFormat="1" ht="46.5" customHeight="1">
      <c r="A15" s="868" t="s">
        <v>1097</v>
      </c>
      <c r="B15" s="869" t="s">
        <v>779</v>
      </c>
      <c r="C15" s="863" t="s">
        <v>649</v>
      </c>
      <c r="D15" s="865">
        <f>D16+D17</f>
        <v>0</v>
      </c>
      <c r="E15" s="865">
        <f>E16+E17</f>
        <v>116500</v>
      </c>
      <c r="F15" s="865">
        <f>F16+F17</f>
        <v>116500</v>
      </c>
      <c r="G15" s="865">
        <f>G16+G17</f>
        <v>0</v>
      </c>
    </row>
    <row r="16" spans="1:7" s="876" customFormat="1" ht="30" customHeight="1">
      <c r="A16" s="870"/>
      <c r="B16" s="871"/>
      <c r="C16" s="872">
        <v>80146</v>
      </c>
      <c r="D16" s="873">
        <v>0</v>
      </c>
      <c r="E16" s="874">
        <v>100800</v>
      </c>
      <c r="F16" s="874">
        <v>100800</v>
      </c>
      <c r="G16" s="875">
        <v>0</v>
      </c>
    </row>
    <row r="17" spans="1:7" s="876" customFormat="1" ht="30" customHeight="1">
      <c r="A17" s="877"/>
      <c r="B17" s="878"/>
      <c r="C17" s="872">
        <v>80147</v>
      </c>
      <c r="D17" s="873">
        <v>0</v>
      </c>
      <c r="E17" s="874">
        <v>15700</v>
      </c>
      <c r="F17" s="874">
        <v>15700</v>
      </c>
      <c r="G17" s="875">
        <v>0</v>
      </c>
    </row>
    <row r="18" spans="1:7" s="867" customFormat="1" ht="46.5" customHeight="1">
      <c r="A18" s="861" t="s">
        <v>1098</v>
      </c>
      <c r="B18" s="862" t="s">
        <v>1103</v>
      </c>
      <c r="C18" s="863">
        <v>85410</v>
      </c>
      <c r="D18" s="864">
        <v>0</v>
      </c>
      <c r="E18" s="865">
        <v>444150</v>
      </c>
      <c r="F18" s="865">
        <v>444150</v>
      </c>
      <c r="G18" s="866">
        <f>D18+E18-F18</f>
        <v>0</v>
      </c>
    </row>
    <row r="19" spans="1:7" s="867" customFormat="1" ht="46.5" customHeight="1">
      <c r="A19" s="861" t="s">
        <v>1099</v>
      </c>
      <c r="B19" s="862" t="s">
        <v>1104</v>
      </c>
      <c r="C19" s="863">
        <v>85403</v>
      </c>
      <c r="D19" s="864">
        <v>0</v>
      </c>
      <c r="E19" s="865">
        <v>252000</v>
      </c>
      <c r="F19" s="865">
        <v>252000</v>
      </c>
      <c r="G19" s="866">
        <f>D19+E19-F19</f>
        <v>0</v>
      </c>
    </row>
    <row r="20" spans="1:7" s="880" customFormat="1" ht="46.5" customHeight="1">
      <c r="A20" s="861" t="s">
        <v>1100</v>
      </c>
      <c r="B20" s="879" t="s">
        <v>1105</v>
      </c>
      <c r="C20" s="863">
        <v>85403</v>
      </c>
      <c r="D20" s="864">
        <v>0</v>
      </c>
      <c r="E20" s="865">
        <v>320000</v>
      </c>
      <c r="F20" s="865">
        <v>320000</v>
      </c>
      <c r="G20" s="866">
        <f>D20+E20-F20</f>
        <v>0</v>
      </c>
    </row>
    <row r="21" spans="1:7" s="881" customFormat="1" ht="46.5" customHeight="1">
      <c r="A21" s="861" t="s">
        <v>1106</v>
      </c>
      <c r="B21" s="879" t="s">
        <v>1107</v>
      </c>
      <c r="C21" s="863">
        <v>85403</v>
      </c>
      <c r="D21" s="864">
        <v>0</v>
      </c>
      <c r="E21" s="865">
        <v>235000</v>
      </c>
      <c r="F21" s="865">
        <v>235000</v>
      </c>
      <c r="G21" s="866">
        <f>D21+E21-F21</f>
        <v>0</v>
      </c>
    </row>
    <row r="22" spans="1:7" s="867" customFormat="1" ht="46.5" customHeight="1">
      <c r="A22" s="861" t="s">
        <v>1108</v>
      </c>
      <c r="B22" s="862" t="s">
        <v>1109</v>
      </c>
      <c r="C22" s="882">
        <v>80116</v>
      </c>
      <c r="D22" s="866">
        <v>0</v>
      </c>
      <c r="E22" s="865">
        <v>15000</v>
      </c>
      <c r="F22" s="865">
        <v>15000</v>
      </c>
      <c r="G22" s="866">
        <f t="shared" si="0"/>
        <v>0</v>
      </c>
    </row>
    <row r="23" spans="1:7" s="867" customFormat="1" ht="46.5" customHeight="1">
      <c r="A23" s="861" t="s">
        <v>1110</v>
      </c>
      <c r="B23" s="862" t="s">
        <v>1111</v>
      </c>
      <c r="C23" s="863">
        <v>80116</v>
      </c>
      <c r="D23" s="864">
        <v>0</v>
      </c>
      <c r="E23" s="865">
        <v>2550</v>
      </c>
      <c r="F23" s="865">
        <v>2550</v>
      </c>
      <c r="G23" s="866">
        <f t="shared" si="0"/>
        <v>0</v>
      </c>
    </row>
    <row r="24" spans="1:7" s="867" customFormat="1" ht="46.5" customHeight="1">
      <c r="A24" s="861" t="s">
        <v>1112</v>
      </c>
      <c r="B24" s="862" t="s">
        <v>1113</v>
      </c>
      <c r="C24" s="863">
        <v>80147</v>
      </c>
      <c r="D24" s="864">
        <v>0</v>
      </c>
      <c r="E24" s="865">
        <v>15500</v>
      </c>
      <c r="F24" s="865">
        <v>15500</v>
      </c>
      <c r="G24" s="866">
        <f t="shared" si="0"/>
        <v>0</v>
      </c>
    </row>
    <row r="25" spans="1:7" s="887" customFormat="1" ht="46.5" customHeight="1">
      <c r="A25" s="883"/>
      <c r="B25" s="884" t="s">
        <v>802</v>
      </c>
      <c r="C25" s="885"/>
      <c r="D25" s="886">
        <f>D12+D13+D14+D15+D18+D24+D19+D20+D21+D22+D23</f>
        <v>0</v>
      </c>
      <c r="E25" s="886">
        <f>E12+E13+E14+E15+E18+E24+E19+E20+E21+E22+E23</f>
        <v>2153750</v>
      </c>
      <c r="F25" s="886">
        <f>F12+F13+F14+F15+F18+F24+F19+F20+F21+F22+F23</f>
        <v>2153750</v>
      </c>
      <c r="G25" s="886">
        <f>G12+G13+G14+G15+G18+G24+G19+G20+G21+G22+G23</f>
        <v>0</v>
      </c>
    </row>
  </sheetData>
  <sheetProtection password="C25B" sheet="1"/>
  <mergeCells count="2">
    <mergeCell ref="A6:G6"/>
    <mergeCell ref="A7:G7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4"/>
  <sheetViews>
    <sheetView view="pageBreakPreview" zoomScaleSheetLayoutView="100" zoomScalePageLayoutView="0" workbookViewId="0" topLeftCell="A1">
      <selection activeCell="C16" sqref="C16"/>
    </sheetView>
  </sheetViews>
  <sheetFormatPr defaultColWidth="8.796875" defaultRowHeight="14.25"/>
  <cols>
    <col min="1" max="1" width="10.09765625" style="96" customWidth="1"/>
    <col min="2" max="2" width="9.3984375" style="97" customWidth="1"/>
    <col min="3" max="3" width="62.5" style="138" customWidth="1"/>
    <col min="4" max="4" width="15.09765625" style="139" customWidth="1"/>
    <col min="5" max="16384" width="9" style="99" customWidth="1"/>
  </cols>
  <sheetData>
    <row r="1" spans="3:4" ht="15">
      <c r="C1" s="918" t="s">
        <v>1116</v>
      </c>
      <c r="D1" s="918"/>
    </row>
    <row r="2" spans="3:4" ht="15">
      <c r="C2" s="918" t="s">
        <v>1117</v>
      </c>
      <c r="D2" s="918"/>
    </row>
    <row r="3" spans="3:4" ht="15">
      <c r="C3" s="918" t="s">
        <v>1118</v>
      </c>
      <c r="D3" s="918"/>
    </row>
    <row r="4" spans="3:4" ht="5.25" customHeight="1">
      <c r="C4" s="98"/>
      <c r="D4" s="100"/>
    </row>
    <row r="5" spans="1:4" ht="15">
      <c r="A5" s="919" t="s">
        <v>24</v>
      </c>
      <c r="B5" s="919"/>
      <c r="C5" s="919"/>
      <c r="D5" s="919"/>
    </row>
    <row r="6" spans="1:4" ht="15">
      <c r="A6" s="919" t="s">
        <v>200</v>
      </c>
      <c r="B6" s="919"/>
      <c r="C6" s="919"/>
      <c r="D6" s="919"/>
    </row>
    <row r="7" spans="1:4" ht="9" customHeight="1">
      <c r="A7" s="920"/>
      <c r="B7" s="920"/>
      <c r="C7" s="920"/>
      <c r="D7" s="920"/>
    </row>
    <row r="8" spans="1:4" s="104" customFormat="1" ht="28.5">
      <c r="A8" s="101" t="s">
        <v>25</v>
      </c>
      <c r="B8" s="101" t="s">
        <v>105</v>
      </c>
      <c r="C8" s="102" t="s">
        <v>72</v>
      </c>
      <c r="D8" s="103" t="s">
        <v>106</v>
      </c>
    </row>
    <row r="9" spans="1:4" s="108" customFormat="1" ht="13.5" customHeight="1">
      <c r="A9" s="105" t="s">
        <v>74</v>
      </c>
      <c r="B9" s="105" t="s">
        <v>75</v>
      </c>
      <c r="C9" s="106">
        <v>3</v>
      </c>
      <c r="D9" s="107">
        <v>4</v>
      </c>
    </row>
    <row r="10" spans="1:4" s="108" customFormat="1" ht="15.75" customHeight="1">
      <c r="A10" s="105"/>
      <c r="B10" s="105"/>
      <c r="C10" s="109" t="s">
        <v>26</v>
      </c>
      <c r="D10" s="110">
        <f>D22+D28+D33+D62+D70+D76+D86+D94+D113+D116+D125+D149+D176+D183+D194+D208+D215+D218+D237+D248+D11</f>
        <v>1106737908</v>
      </c>
    </row>
    <row r="11" spans="1:4" s="115" customFormat="1" ht="18.75" customHeight="1">
      <c r="A11" s="111" t="s">
        <v>77</v>
      </c>
      <c r="B11" s="112" t="s">
        <v>145</v>
      </c>
      <c r="C11" s="113" t="s">
        <v>107</v>
      </c>
      <c r="D11" s="114">
        <f>D12+D17+D20</f>
        <v>12009150</v>
      </c>
    </row>
    <row r="12" spans="1:4" s="115" customFormat="1" ht="18.75" customHeight="1">
      <c r="A12" s="116" t="s">
        <v>129</v>
      </c>
      <c r="B12" s="116" t="s">
        <v>145</v>
      </c>
      <c r="C12" s="117" t="s">
        <v>156</v>
      </c>
      <c r="D12" s="118">
        <f>SUM(D13:D16)</f>
        <v>5500000</v>
      </c>
    </row>
    <row r="13" spans="1:4" ht="60" customHeight="1">
      <c r="A13" s="119" t="s">
        <v>145</v>
      </c>
      <c r="B13" s="119">
        <v>2008</v>
      </c>
      <c r="C13" s="120" t="s">
        <v>175</v>
      </c>
      <c r="D13" s="121">
        <v>369000</v>
      </c>
    </row>
    <row r="14" spans="1:4" ht="60" customHeight="1">
      <c r="A14" s="119" t="s">
        <v>145</v>
      </c>
      <c r="B14" s="119">
        <v>2009</v>
      </c>
      <c r="C14" s="120" t="s">
        <v>175</v>
      </c>
      <c r="D14" s="121">
        <v>211000</v>
      </c>
    </row>
    <row r="15" spans="1:4" ht="60" customHeight="1">
      <c r="A15" s="119" t="s">
        <v>145</v>
      </c>
      <c r="B15" s="119">
        <v>2058</v>
      </c>
      <c r="C15" s="120" t="s">
        <v>148</v>
      </c>
      <c r="D15" s="121">
        <v>3131000</v>
      </c>
    </row>
    <row r="16" spans="1:4" ht="60" customHeight="1">
      <c r="A16" s="119" t="s">
        <v>145</v>
      </c>
      <c r="B16" s="119">
        <v>2059</v>
      </c>
      <c r="C16" s="120" t="s">
        <v>148</v>
      </c>
      <c r="D16" s="121">
        <v>1789000</v>
      </c>
    </row>
    <row r="17" spans="1:4" s="115" customFormat="1" ht="18" customHeight="1">
      <c r="A17" s="122" t="s">
        <v>140</v>
      </c>
      <c r="B17" s="122" t="s">
        <v>145</v>
      </c>
      <c r="C17" s="123" t="s">
        <v>141</v>
      </c>
      <c r="D17" s="124">
        <f>SUM(D18:D19)</f>
        <v>6500000</v>
      </c>
    </row>
    <row r="18" spans="1:4" ht="18" customHeight="1">
      <c r="A18" s="119" t="s">
        <v>145</v>
      </c>
      <c r="B18" s="119" t="s">
        <v>131</v>
      </c>
      <c r="C18" s="120" t="s">
        <v>132</v>
      </c>
      <c r="D18" s="121">
        <v>6400000</v>
      </c>
    </row>
    <row r="19" spans="1:4" ht="18" customHeight="1">
      <c r="A19" s="119" t="s">
        <v>145</v>
      </c>
      <c r="B19" s="119" t="s">
        <v>32</v>
      </c>
      <c r="C19" s="120" t="s">
        <v>159</v>
      </c>
      <c r="D19" s="121">
        <v>100000</v>
      </c>
    </row>
    <row r="20" spans="1:4" s="115" customFormat="1" ht="18" customHeight="1">
      <c r="A20" s="122" t="s">
        <v>142</v>
      </c>
      <c r="B20" s="122" t="s">
        <v>145</v>
      </c>
      <c r="C20" s="123" t="s">
        <v>130</v>
      </c>
      <c r="D20" s="124">
        <f>D21</f>
        <v>9150</v>
      </c>
    </row>
    <row r="21" spans="1:4" ht="18" customHeight="1">
      <c r="A21" s="119" t="s">
        <v>145</v>
      </c>
      <c r="B21" s="119" t="s">
        <v>29</v>
      </c>
      <c r="C21" s="120" t="s">
        <v>30</v>
      </c>
      <c r="D21" s="121">
        <v>9150</v>
      </c>
    </row>
    <row r="22" spans="1:4" s="115" customFormat="1" ht="18" customHeight="1">
      <c r="A22" s="125" t="s">
        <v>78</v>
      </c>
      <c r="B22" s="125" t="s">
        <v>145</v>
      </c>
      <c r="C22" s="126" t="s">
        <v>79</v>
      </c>
      <c r="D22" s="127">
        <f>D23+D25</f>
        <v>696000</v>
      </c>
    </row>
    <row r="23" spans="1:4" s="115" customFormat="1" ht="15" customHeight="1">
      <c r="A23" s="122" t="s">
        <v>191</v>
      </c>
      <c r="B23" s="122" t="s">
        <v>145</v>
      </c>
      <c r="C23" s="123" t="s">
        <v>177</v>
      </c>
      <c r="D23" s="124">
        <f>D24</f>
        <v>56000</v>
      </c>
    </row>
    <row r="24" spans="1:4" ht="44.25" customHeight="1">
      <c r="A24" s="119" t="s">
        <v>145</v>
      </c>
      <c r="B24" s="119">
        <v>2210</v>
      </c>
      <c r="C24" s="120" t="s">
        <v>27</v>
      </c>
      <c r="D24" s="121">
        <v>56000</v>
      </c>
    </row>
    <row r="25" spans="1:4" s="115" customFormat="1" ht="43.5" customHeight="1">
      <c r="A25" s="122" t="s">
        <v>133</v>
      </c>
      <c r="B25" s="122" t="s">
        <v>145</v>
      </c>
      <c r="C25" s="123" t="s">
        <v>167</v>
      </c>
      <c r="D25" s="124">
        <f>D26+D27</f>
        <v>640000</v>
      </c>
    </row>
    <row r="26" spans="1:4" ht="59.25" customHeight="1">
      <c r="A26" s="119" t="s">
        <v>145</v>
      </c>
      <c r="B26" s="119">
        <v>2058</v>
      </c>
      <c r="C26" s="120" t="s">
        <v>148</v>
      </c>
      <c r="D26" s="121">
        <v>480000</v>
      </c>
    </row>
    <row r="27" spans="1:4" ht="59.25" customHeight="1">
      <c r="A27" s="119" t="s">
        <v>145</v>
      </c>
      <c r="B27" s="119">
        <v>2059</v>
      </c>
      <c r="C27" s="120" t="s">
        <v>148</v>
      </c>
      <c r="D27" s="121">
        <v>160000</v>
      </c>
    </row>
    <row r="28" spans="1:4" s="115" customFormat="1" ht="18.75" customHeight="1">
      <c r="A28" s="125" t="s">
        <v>165</v>
      </c>
      <c r="B28" s="125" t="s">
        <v>145</v>
      </c>
      <c r="C28" s="126" t="s">
        <v>166</v>
      </c>
      <c r="D28" s="127">
        <f>D29+D31</f>
        <v>4095727</v>
      </c>
    </row>
    <row r="29" spans="1:4" s="115" customFormat="1" ht="17.25" customHeight="1">
      <c r="A29" s="122">
        <v>15011</v>
      </c>
      <c r="B29" s="122" t="s">
        <v>145</v>
      </c>
      <c r="C29" s="123" t="s">
        <v>206</v>
      </c>
      <c r="D29" s="124">
        <f>D30</f>
        <v>3710269</v>
      </c>
    </row>
    <row r="30" spans="1:4" ht="45" customHeight="1">
      <c r="A30" s="119" t="s">
        <v>145</v>
      </c>
      <c r="B30" s="119">
        <v>2460</v>
      </c>
      <c r="C30" s="120" t="s">
        <v>190</v>
      </c>
      <c r="D30" s="121">
        <v>3710269</v>
      </c>
    </row>
    <row r="31" spans="1:4" s="115" customFormat="1" ht="16.5" customHeight="1">
      <c r="A31" s="122">
        <v>15095</v>
      </c>
      <c r="B31" s="122" t="s">
        <v>145</v>
      </c>
      <c r="C31" s="123" t="s">
        <v>130</v>
      </c>
      <c r="D31" s="124">
        <f>D32</f>
        <v>385458</v>
      </c>
    </row>
    <row r="32" spans="1:4" ht="61.5" customHeight="1">
      <c r="A32" s="128" t="s">
        <v>145</v>
      </c>
      <c r="B32" s="128">
        <v>2058</v>
      </c>
      <c r="C32" s="129" t="s">
        <v>148</v>
      </c>
      <c r="D32" s="130">
        <v>385458</v>
      </c>
    </row>
    <row r="33" spans="1:4" s="115" customFormat="1" ht="15.75" customHeight="1">
      <c r="A33" s="125" t="s">
        <v>80</v>
      </c>
      <c r="B33" s="125" t="s">
        <v>145</v>
      </c>
      <c r="C33" s="126" t="s">
        <v>81</v>
      </c>
      <c r="D33" s="127">
        <f>D34+D38+D40+D42+D58</f>
        <v>90882950</v>
      </c>
    </row>
    <row r="34" spans="1:4" s="115" customFormat="1" ht="18" customHeight="1">
      <c r="A34" s="122">
        <v>60001</v>
      </c>
      <c r="B34" s="122" t="s">
        <v>145</v>
      </c>
      <c r="C34" s="123" t="s">
        <v>134</v>
      </c>
      <c r="D34" s="124">
        <f>SUM(D35:D37)</f>
        <v>14825141</v>
      </c>
    </row>
    <row r="35" spans="1:4" ht="46.5" customHeight="1">
      <c r="A35" s="128" t="s">
        <v>145</v>
      </c>
      <c r="B35" s="128" t="s">
        <v>108</v>
      </c>
      <c r="C35" s="129" t="s">
        <v>154</v>
      </c>
      <c r="D35" s="130">
        <v>2202775</v>
      </c>
    </row>
    <row r="36" spans="1:4" ht="45.75" customHeight="1">
      <c r="A36" s="131" t="s">
        <v>145</v>
      </c>
      <c r="B36" s="131">
        <v>2330</v>
      </c>
      <c r="C36" s="132" t="s">
        <v>33</v>
      </c>
      <c r="D36" s="133">
        <v>2660000</v>
      </c>
    </row>
    <row r="37" spans="1:4" ht="30.75" customHeight="1">
      <c r="A37" s="119" t="s">
        <v>145</v>
      </c>
      <c r="B37" s="119">
        <v>2440</v>
      </c>
      <c r="C37" s="120" t="s">
        <v>153</v>
      </c>
      <c r="D37" s="121">
        <v>9962366</v>
      </c>
    </row>
    <row r="38" spans="1:4" s="115" customFormat="1" ht="14.25" customHeight="1">
      <c r="A38" s="122">
        <v>60002</v>
      </c>
      <c r="B38" s="122" t="s">
        <v>145</v>
      </c>
      <c r="C38" s="123" t="s">
        <v>178</v>
      </c>
      <c r="D38" s="124">
        <f>D39</f>
        <v>15129</v>
      </c>
    </row>
    <row r="39" spans="1:4" ht="45">
      <c r="A39" s="119" t="s">
        <v>145</v>
      </c>
      <c r="B39" s="119" t="s">
        <v>108</v>
      </c>
      <c r="C39" s="120" t="s">
        <v>154</v>
      </c>
      <c r="D39" s="121">
        <v>15129</v>
      </c>
    </row>
    <row r="40" spans="1:4" s="115" customFormat="1" ht="14.25" customHeight="1">
      <c r="A40" s="122">
        <v>60003</v>
      </c>
      <c r="B40" s="122" t="s">
        <v>145</v>
      </c>
      <c r="C40" s="123" t="s">
        <v>135</v>
      </c>
      <c r="D40" s="124">
        <f>D41</f>
        <v>37000000</v>
      </c>
    </row>
    <row r="41" spans="1:4" ht="45">
      <c r="A41" s="119" t="s">
        <v>145</v>
      </c>
      <c r="B41" s="119">
        <v>2210</v>
      </c>
      <c r="C41" s="120" t="s">
        <v>27</v>
      </c>
      <c r="D41" s="121">
        <v>37000000</v>
      </c>
    </row>
    <row r="42" spans="1:4" s="115" customFormat="1" ht="14.25" customHeight="1">
      <c r="A42" s="122">
        <v>60013</v>
      </c>
      <c r="B42" s="122" t="s">
        <v>145</v>
      </c>
      <c r="C42" s="123" t="s">
        <v>136</v>
      </c>
      <c r="D42" s="124">
        <f>SUM(D43:D57)</f>
        <v>38307201</v>
      </c>
    </row>
    <row r="43" spans="1:4" ht="30">
      <c r="A43" s="119" t="s">
        <v>145</v>
      </c>
      <c r="B43" s="119" t="s">
        <v>192</v>
      </c>
      <c r="C43" s="120" t="s">
        <v>179</v>
      </c>
      <c r="D43" s="121">
        <v>2500</v>
      </c>
    </row>
    <row r="44" spans="1:4" ht="16.5" customHeight="1">
      <c r="A44" s="119" t="s">
        <v>145</v>
      </c>
      <c r="B44" s="119" t="s">
        <v>193</v>
      </c>
      <c r="C44" s="120" t="s">
        <v>180</v>
      </c>
      <c r="D44" s="121">
        <v>800</v>
      </c>
    </row>
    <row r="45" spans="1:4" ht="16.5" customHeight="1">
      <c r="A45" s="119" t="s">
        <v>145</v>
      </c>
      <c r="B45" s="119" t="s">
        <v>131</v>
      </c>
      <c r="C45" s="120" t="s">
        <v>132</v>
      </c>
      <c r="D45" s="121">
        <v>3960000</v>
      </c>
    </row>
    <row r="46" spans="1:4" ht="45">
      <c r="A46" s="119" t="s">
        <v>145</v>
      </c>
      <c r="B46" s="119" t="s">
        <v>108</v>
      </c>
      <c r="C46" s="120" t="s">
        <v>154</v>
      </c>
      <c r="D46" s="121">
        <v>37000</v>
      </c>
    </row>
    <row r="47" spans="1:4" ht="16.5" customHeight="1">
      <c r="A47" s="119" t="s">
        <v>145</v>
      </c>
      <c r="B47" s="119" t="s">
        <v>34</v>
      </c>
      <c r="C47" s="120" t="s">
        <v>35</v>
      </c>
      <c r="D47" s="121">
        <v>60000</v>
      </c>
    </row>
    <row r="48" spans="1:4" ht="16.5" customHeight="1">
      <c r="A48" s="119" t="s">
        <v>145</v>
      </c>
      <c r="B48" s="119" t="s">
        <v>28</v>
      </c>
      <c r="C48" s="120" t="s">
        <v>155</v>
      </c>
      <c r="D48" s="121">
        <v>10000</v>
      </c>
    </row>
    <row r="49" spans="1:4" ht="16.5" customHeight="1">
      <c r="A49" s="119" t="s">
        <v>145</v>
      </c>
      <c r="B49" s="119" t="s">
        <v>194</v>
      </c>
      <c r="C49" s="120" t="s">
        <v>181</v>
      </c>
      <c r="D49" s="121">
        <v>16000</v>
      </c>
    </row>
    <row r="50" spans="1:4" ht="16.5" customHeight="1">
      <c r="A50" s="119" t="s">
        <v>145</v>
      </c>
      <c r="B50" s="119" t="s">
        <v>195</v>
      </c>
      <c r="C50" s="120" t="s">
        <v>182</v>
      </c>
      <c r="D50" s="121">
        <v>230000</v>
      </c>
    </row>
    <row r="51" spans="1:4" ht="16.5" customHeight="1">
      <c r="A51" s="119" t="s">
        <v>145</v>
      </c>
      <c r="B51" s="119" t="s">
        <v>29</v>
      </c>
      <c r="C51" s="120" t="s">
        <v>30</v>
      </c>
      <c r="D51" s="121">
        <v>52500</v>
      </c>
    </row>
    <row r="52" spans="1:4" ht="30">
      <c r="A52" s="119" t="s">
        <v>145</v>
      </c>
      <c r="B52" s="119" t="s">
        <v>196</v>
      </c>
      <c r="C52" s="120" t="s">
        <v>36</v>
      </c>
      <c r="D52" s="121">
        <v>12622448</v>
      </c>
    </row>
    <row r="53" spans="1:4" ht="45" customHeight="1">
      <c r="A53" s="119" t="s">
        <v>145</v>
      </c>
      <c r="B53" s="119">
        <v>6300</v>
      </c>
      <c r="C53" s="120" t="s">
        <v>171</v>
      </c>
      <c r="D53" s="121">
        <v>300000</v>
      </c>
    </row>
    <row r="54" spans="1:4" ht="45.75" customHeight="1">
      <c r="A54" s="119" t="s">
        <v>145</v>
      </c>
      <c r="B54" s="119">
        <v>6309</v>
      </c>
      <c r="C54" s="120" t="s">
        <v>171</v>
      </c>
      <c r="D54" s="121">
        <v>9386970</v>
      </c>
    </row>
    <row r="55" spans="1:4" ht="30" customHeight="1">
      <c r="A55" s="119" t="s">
        <v>145</v>
      </c>
      <c r="B55" s="119">
        <v>6530</v>
      </c>
      <c r="C55" s="120" t="s">
        <v>149</v>
      </c>
      <c r="D55" s="121">
        <v>6000000</v>
      </c>
    </row>
    <row r="56" spans="1:4" ht="36.75" customHeight="1">
      <c r="A56" s="119" t="s">
        <v>145</v>
      </c>
      <c r="B56" s="119">
        <v>6619</v>
      </c>
      <c r="C56" s="120" t="s">
        <v>183</v>
      </c>
      <c r="D56" s="121">
        <v>4690820</v>
      </c>
    </row>
    <row r="57" spans="1:4" ht="45.75" customHeight="1">
      <c r="A57" s="119" t="s">
        <v>145</v>
      </c>
      <c r="B57" s="119">
        <v>6629</v>
      </c>
      <c r="C57" s="120" t="s">
        <v>207</v>
      </c>
      <c r="D57" s="121">
        <v>938163</v>
      </c>
    </row>
    <row r="58" spans="1:4" s="115" customFormat="1" ht="14.25" customHeight="1">
      <c r="A58" s="122">
        <v>60095</v>
      </c>
      <c r="B58" s="122" t="s">
        <v>145</v>
      </c>
      <c r="C58" s="123" t="s">
        <v>130</v>
      </c>
      <c r="D58" s="124">
        <f>SUM(D59:D61)</f>
        <v>735479</v>
      </c>
    </row>
    <row r="59" spans="1:4" ht="60" customHeight="1">
      <c r="A59" s="119" t="s">
        <v>145</v>
      </c>
      <c r="B59" s="119">
        <v>2058</v>
      </c>
      <c r="C59" s="120" t="s">
        <v>148</v>
      </c>
      <c r="D59" s="121">
        <v>491479</v>
      </c>
    </row>
    <row r="60" spans="1:4" ht="45.75" customHeight="1">
      <c r="A60" s="119" t="s">
        <v>145</v>
      </c>
      <c r="B60" s="119">
        <v>2210</v>
      </c>
      <c r="C60" s="120" t="s">
        <v>27</v>
      </c>
      <c r="D60" s="121">
        <v>239000</v>
      </c>
    </row>
    <row r="61" spans="1:4" ht="32.25" customHeight="1">
      <c r="A61" s="128" t="s">
        <v>145</v>
      </c>
      <c r="B61" s="128">
        <v>2360</v>
      </c>
      <c r="C61" s="129" t="s">
        <v>174</v>
      </c>
      <c r="D61" s="130">
        <v>5000</v>
      </c>
    </row>
    <row r="62" spans="1:4" s="115" customFormat="1" ht="14.25" customHeight="1">
      <c r="A62" s="125" t="s">
        <v>172</v>
      </c>
      <c r="B62" s="125" t="s">
        <v>145</v>
      </c>
      <c r="C62" s="134" t="s">
        <v>173</v>
      </c>
      <c r="D62" s="127">
        <f>D63+D65</f>
        <v>554529</v>
      </c>
    </row>
    <row r="63" spans="1:4" s="115" customFormat="1" ht="14.25" customHeight="1">
      <c r="A63" s="122">
        <v>63003</v>
      </c>
      <c r="B63" s="122" t="s">
        <v>145</v>
      </c>
      <c r="C63" s="123" t="s">
        <v>208</v>
      </c>
      <c r="D63" s="124">
        <f>D64</f>
        <v>9546</v>
      </c>
    </row>
    <row r="64" spans="1:4" ht="60" customHeight="1">
      <c r="A64" s="119" t="s">
        <v>145</v>
      </c>
      <c r="B64" s="119">
        <v>2058</v>
      </c>
      <c r="C64" s="120" t="s">
        <v>148</v>
      </c>
      <c r="D64" s="121">
        <v>9546</v>
      </c>
    </row>
    <row r="65" spans="1:4" s="115" customFormat="1" ht="14.25">
      <c r="A65" s="122">
        <v>63095</v>
      </c>
      <c r="B65" s="122" t="s">
        <v>145</v>
      </c>
      <c r="C65" s="123" t="s">
        <v>130</v>
      </c>
      <c r="D65" s="124">
        <f>SUM(D66:D69)</f>
        <v>544983</v>
      </c>
    </row>
    <row r="66" spans="1:4" ht="59.25" customHeight="1">
      <c r="A66" s="128" t="s">
        <v>145</v>
      </c>
      <c r="B66" s="128">
        <v>2008</v>
      </c>
      <c r="C66" s="129" t="s">
        <v>175</v>
      </c>
      <c r="D66" s="130">
        <v>122400</v>
      </c>
    </row>
    <row r="67" spans="1:4" ht="61.5" customHeight="1">
      <c r="A67" s="131" t="s">
        <v>145</v>
      </c>
      <c r="B67" s="131">
        <v>2058</v>
      </c>
      <c r="C67" s="132" t="s">
        <v>148</v>
      </c>
      <c r="D67" s="133">
        <v>253933</v>
      </c>
    </row>
    <row r="68" spans="1:4" ht="46.5" customHeight="1">
      <c r="A68" s="119" t="s">
        <v>145</v>
      </c>
      <c r="B68" s="119">
        <v>2210</v>
      </c>
      <c r="C68" s="120" t="s">
        <v>27</v>
      </c>
      <c r="D68" s="121">
        <v>168000</v>
      </c>
    </row>
    <row r="69" spans="1:4" ht="33" customHeight="1">
      <c r="A69" s="119" t="s">
        <v>145</v>
      </c>
      <c r="B69" s="119">
        <v>2360</v>
      </c>
      <c r="C69" s="120" t="s">
        <v>174</v>
      </c>
      <c r="D69" s="121">
        <v>650</v>
      </c>
    </row>
    <row r="70" spans="1:4" s="115" customFormat="1" ht="14.25">
      <c r="A70" s="125" t="s">
        <v>82</v>
      </c>
      <c r="B70" s="125" t="s">
        <v>145</v>
      </c>
      <c r="C70" s="126" t="s">
        <v>83</v>
      </c>
      <c r="D70" s="127">
        <f>D71</f>
        <v>1070000</v>
      </c>
    </row>
    <row r="71" spans="1:4" s="115" customFormat="1" ht="14.25">
      <c r="A71" s="122">
        <v>70005</v>
      </c>
      <c r="B71" s="122" t="s">
        <v>145</v>
      </c>
      <c r="C71" s="123" t="s">
        <v>137</v>
      </c>
      <c r="D71" s="124">
        <f>SUM(D72:D75)</f>
        <v>1070000</v>
      </c>
    </row>
    <row r="72" spans="1:4" ht="15">
      <c r="A72" s="119" t="s">
        <v>145</v>
      </c>
      <c r="B72" s="119" t="s">
        <v>37</v>
      </c>
      <c r="C72" s="120" t="s">
        <v>184</v>
      </c>
      <c r="D72" s="121">
        <v>200000</v>
      </c>
    </row>
    <row r="73" spans="1:4" ht="15">
      <c r="A73" s="119" t="s">
        <v>145</v>
      </c>
      <c r="B73" s="119" t="s">
        <v>150</v>
      </c>
      <c r="C73" s="120" t="s">
        <v>151</v>
      </c>
      <c r="D73" s="121">
        <v>110000</v>
      </c>
    </row>
    <row r="74" spans="1:4" ht="45">
      <c r="A74" s="119" t="s">
        <v>145</v>
      </c>
      <c r="B74" s="119" t="s">
        <v>108</v>
      </c>
      <c r="C74" s="120" t="s">
        <v>154</v>
      </c>
      <c r="D74" s="121">
        <v>510000</v>
      </c>
    </row>
    <row r="75" spans="1:4" ht="30">
      <c r="A75" s="119" t="s">
        <v>145</v>
      </c>
      <c r="B75" s="119" t="s">
        <v>38</v>
      </c>
      <c r="C75" s="120" t="s">
        <v>39</v>
      </c>
      <c r="D75" s="121">
        <v>250000</v>
      </c>
    </row>
    <row r="76" spans="1:4" s="115" customFormat="1" ht="15" customHeight="1">
      <c r="A76" s="125" t="s">
        <v>84</v>
      </c>
      <c r="B76" s="125" t="s">
        <v>145</v>
      </c>
      <c r="C76" s="126" t="s">
        <v>85</v>
      </c>
      <c r="D76" s="127">
        <f>D77+D80+D83</f>
        <v>370450</v>
      </c>
    </row>
    <row r="77" spans="1:4" s="115" customFormat="1" ht="15" customHeight="1">
      <c r="A77" s="122">
        <v>71003</v>
      </c>
      <c r="B77" s="122" t="s">
        <v>145</v>
      </c>
      <c r="C77" s="123" t="s">
        <v>138</v>
      </c>
      <c r="D77" s="124">
        <f>SUM(D78:D79)</f>
        <v>3000</v>
      </c>
    </row>
    <row r="78" spans="1:4" ht="15" customHeight="1">
      <c r="A78" s="119" t="s">
        <v>145</v>
      </c>
      <c r="B78" s="119" t="s">
        <v>194</v>
      </c>
      <c r="C78" s="120" t="s">
        <v>181</v>
      </c>
      <c r="D78" s="121">
        <v>2900</v>
      </c>
    </row>
    <row r="79" spans="1:4" ht="15" customHeight="1">
      <c r="A79" s="119" t="s">
        <v>145</v>
      </c>
      <c r="B79" s="119" t="s">
        <v>29</v>
      </c>
      <c r="C79" s="120" t="s">
        <v>30</v>
      </c>
      <c r="D79" s="121">
        <v>100</v>
      </c>
    </row>
    <row r="80" spans="1:4" s="115" customFormat="1" ht="15" customHeight="1">
      <c r="A80" s="122">
        <v>71005</v>
      </c>
      <c r="B80" s="122" t="s">
        <v>145</v>
      </c>
      <c r="C80" s="123" t="s">
        <v>139</v>
      </c>
      <c r="D80" s="124">
        <f>SUM(D81:D82)</f>
        <v>245450</v>
      </c>
    </row>
    <row r="81" spans="1:4" ht="44.25" customHeight="1">
      <c r="A81" s="119" t="s">
        <v>145</v>
      </c>
      <c r="B81" s="119">
        <v>2210</v>
      </c>
      <c r="C81" s="120" t="s">
        <v>27</v>
      </c>
      <c r="D81" s="121">
        <v>244000</v>
      </c>
    </row>
    <row r="82" spans="1:4" ht="30">
      <c r="A82" s="119" t="s">
        <v>145</v>
      </c>
      <c r="B82" s="119">
        <v>2360</v>
      </c>
      <c r="C82" s="120" t="s">
        <v>174</v>
      </c>
      <c r="D82" s="121">
        <v>1450</v>
      </c>
    </row>
    <row r="83" spans="1:4" s="115" customFormat="1" ht="16.5" customHeight="1">
      <c r="A83" s="122">
        <v>71012</v>
      </c>
      <c r="B83" s="122" t="s">
        <v>145</v>
      </c>
      <c r="C83" s="123" t="s">
        <v>160</v>
      </c>
      <c r="D83" s="124">
        <f>SUM(D84:D85)</f>
        <v>122000</v>
      </c>
    </row>
    <row r="84" spans="1:4" ht="16.5" customHeight="1">
      <c r="A84" s="119" t="s">
        <v>145</v>
      </c>
      <c r="B84" s="119" t="s">
        <v>131</v>
      </c>
      <c r="C84" s="120" t="s">
        <v>132</v>
      </c>
      <c r="D84" s="121">
        <v>22000</v>
      </c>
    </row>
    <row r="85" spans="1:4" ht="45" customHeight="1">
      <c r="A85" s="119" t="s">
        <v>145</v>
      </c>
      <c r="B85" s="119">
        <v>2210</v>
      </c>
      <c r="C85" s="120" t="s">
        <v>27</v>
      </c>
      <c r="D85" s="121">
        <v>100000</v>
      </c>
    </row>
    <row r="86" spans="1:4" s="115" customFormat="1" ht="15.75" customHeight="1">
      <c r="A86" s="125" t="s">
        <v>86</v>
      </c>
      <c r="B86" s="125" t="s">
        <v>145</v>
      </c>
      <c r="C86" s="126" t="s">
        <v>87</v>
      </c>
      <c r="D86" s="127">
        <f>D87</f>
        <v>865484</v>
      </c>
    </row>
    <row r="87" spans="1:4" s="115" customFormat="1" ht="15.75" customHeight="1">
      <c r="A87" s="122">
        <v>72095</v>
      </c>
      <c r="B87" s="122" t="s">
        <v>145</v>
      </c>
      <c r="C87" s="123" t="s">
        <v>130</v>
      </c>
      <c r="D87" s="124">
        <f>SUM(D88:D93)</f>
        <v>865484</v>
      </c>
    </row>
    <row r="88" spans="1:4" ht="30.75" customHeight="1">
      <c r="A88" s="119" t="s">
        <v>145</v>
      </c>
      <c r="B88" s="119">
        <v>2310</v>
      </c>
      <c r="C88" s="120" t="s">
        <v>55</v>
      </c>
      <c r="D88" s="121">
        <v>736617</v>
      </c>
    </row>
    <row r="89" spans="1:4" ht="30.75" customHeight="1">
      <c r="A89" s="119" t="s">
        <v>145</v>
      </c>
      <c r="B89" s="119">
        <v>2319</v>
      </c>
      <c r="C89" s="120" t="s">
        <v>55</v>
      </c>
      <c r="D89" s="121">
        <v>37918</v>
      </c>
    </row>
    <row r="90" spans="1:4" ht="30.75" customHeight="1">
      <c r="A90" s="119" t="s">
        <v>145</v>
      </c>
      <c r="B90" s="119">
        <v>2329</v>
      </c>
      <c r="C90" s="120" t="s">
        <v>187</v>
      </c>
      <c r="D90" s="121">
        <v>27910</v>
      </c>
    </row>
    <row r="91" spans="1:4" ht="45">
      <c r="A91" s="119" t="s">
        <v>145</v>
      </c>
      <c r="B91" s="119">
        <v>2469</v>
      </c>
      <c r="C91" s="120" t="s">
        <v>190</v>
      </c>
      <c r="D91" s="121">
        <v>354</v>
      </c>
    </row>
    <row r="92" spans="1:4" ht="46.5" customHeight="1">
      <c r="A92" s="119" t="s">
        <v>145</v>
      </c>
      <c r="B92" s="119">
        <v>6289</v>
      </c>
      <c r="C92" s="120" t="s">
        <v>31</v>
      </c>
      <c r="D92" s="121">
        <v>58590</v>
      </c>
    </row>
    <row r="93" spans="1:4" ht="46.5" customHeight="1">
      <c r="A93" s="128" t="s">
        <v>145</v>
      </c>
      <c r="B93" s="128">
        <v>6299</v>
      </c>
      <c r="C93" s="129" t="s">
        <v>219</v>
      </c>
      <c r="D93" s="130">
        <v>4095</v>
      </c>
    </row>
    <row r="94" spans="1:4" s="115" customFormat="1" ht="15.75" customHeight="1">
      <c r="A94" s="125" t="s">
        <v>88</v>
      </c>
      <c r="B94" s="125" t="s">
        <v>145</v>
      </c>
      <c r="C94" s="126" t="s">
        <v>89</v>
      </c>
      <c r="D94" s="127">
        <f>D95+D104+D106+D108+D110</f>
        <v>3040615</v>
      </c>
    </row>
    <row r="95" spans="1:4" s="115" customFormat="1" ht="15.75" customHeight="1">
      <c r="A95" s="122">
        <v>75018</v>
      </c>
      <c r="B95" s="122" t="s">
        <v>145</v>
      </c>
      <c r="C95" s="123" t="s">
        <v>109</v>
      </c>
      <c r="D95" s="124">
        <f>SUM(D96:D103)</f>
        <v>226100</v>
      </c>
    </row>
    <row r="96" spans="1:4" ht="15.75" customHeight="1">
      <c r="A96" s="119" t="s">
        <v>145</v>
      </c>
      <c r="B96" s="119" t="s">
        <v>131</v>
      </c>
      <c r="C96" s="120" t="s">
        <v>132</v>
      </c>
      <c r="D96" s="121">
        <v>1000</v>
      </c>
    </row>
    <row r="97" spans="1:4" ht="45">
      <c r="A97" s="119" t="s">
        <v>145</v>
      </c>
      <c r="B97" s="119" t="s">
        <v>108</v>
      </c>
      <c r="C97" s="120" t="s">
        <v>154</v>
      </c>
      <c r="D97" s="121">
        <v>45000</v>
      </c>
    </row>
    <row r="98" spans="1:4" ht="16.5" customHeight="1">
      <c r="A98" s="119" t="s">
        <v>145</v>
      </c>
      <c r="B98" s="119" t="s">
        <v>40</v>
      </c>
      <c r="C98" s="120" t="s">
        <v>41</v>
      </c>
      <c r="D98" s="121">
        <v>45000</v>
      </c>
    </row>
    <row r="99" spans="1:4" ht="16.5" customHeight="1">
      <c r="A99" s="119" t="s">
        <v>145</v>
      </c>
      <c r="B99" s="119" t="s">
        <v>28</v>
      </c>
      <c r="C99" s="120" t="s">
        <v>155</v>
      </c>
      <c r="D99" s="121">
        <v>100</v>
      </c>
    </row>
    <row r="100" spans="1:4" ht="16.5" customHeight="1">
      <c r="A100" s="119" t="s">
        <v>145</v>
      </c>
      <c r="B100" s="119" t="s">
        <v>194</v>
      </c>
      <c r="C100" s="120" t="s">
        <v>181</v>
      </c>
      <c r="D100" s="121">
        <v>10000</v>
      </c>
    </row>
    <row r="101" spans="1:4" ht="16.5" customHeight="1">
      <c r="A101" s="119" t="s">
        <v>145</v>
      </c>
      <c r="B101" s="119" t="s">
        <v>195</v>
      </c>
      <c r="C101" s="120" t="s">
        <v>182</v>
      </c>
      <c r="D101" s="121">
        <v>10000</v>
      </c>
    </row>
    <row r="102" spans="1:4" ht="16.5" customHeight="1">
      <c r="A102" s="128" t="s">
        <v>145</v>
      </c>
      <c r="B102" s="128" t="s">
        <v>29</v>
      </c>
      <c r="C102" s="129" t="s">
        <v>30</v>
      </c>
      <c r="D102" s="130">
        <v>30000</v>
      </c>
    </row>
    <row r="103" spans="1:4" ht="30">
      <c r="A103" s="131" t="s">
        <v>145</v>
      </c>
      <c r="B103" s="131" t="s">
        <v>196</v>
      </c>
      <c r="C103" s="132" t="s">
        <v>36</v>
      </c>
      <c r="D103" s="133">
        <v>85000</v>
      </c>
    </row>
    <row r="104" spans="1:4" s="115" customFormat="1" ht="14.25">
      <c r="A104" s="122">
        <v>75046</v>
      </c>
      <c r="B104" s="122" t="s">
        <v>145</v>
      </c>
      <c r="C104" s="123" t="s">
        <v>42</v>
      </c>
      <c r="D104" s="124">
        <f>D105</f>
        <v>300</v>
      </c>
    </row>
    <row r="105" spans="1:4" ht="31.5" customHeight="1">
      <c r="A105" s="119" t="s">
        <v>145</v>
      </c>
      <c r="B105" s="119">
        <v>2360</v>
      </c>
      <c r="C105" s="120" t="s">
        <v>174</v>
      </c>
      <c r="D105" s="121">
        <v>300</v>
      </c>
    </row>
    <row r="106" spans="1:4" s="115" customFormat="1" ht="19.5" customHeight="1">
      <c r="A106" s="122">
        <v>75075</v>
      </c>
      <c r="B106" s="122" t="s">
        <v>145</v>
      </c>
      <c r="C106" s="123" t="s">
        <v>168</v>
      </c>
      <c r="D106" s="124">
        <f>D107</f>
        <v>1113215</v>
      </c>
    </row>
    <row r="107" spans="1:4" ht="31.5" customHeight="1">
      <c r="A107" s="119" t="s">
        <v>145</v>
      </c>
      <c r="B107" s="119">
        <v>2319</v>
      </c>
      <c r="C107" s="120" t="s">
        <v>55</v>
      </c>
      <c r="D107" s="121">
        <v>1113215</v>
      </c>
    </row>
    <row r="108" spans="1:4" s="115" customFormat="1" ht="18.75" customHeight="1">
      <c r="A108" s="122">
        <v>75084</v>
      </c>
      <c r="B108" s="122" t="s">
        <v>145</v>
      </c>
      <c r="C108" s="123" t="s">
        <v>169</v>
      </c>
      <c r="D108" s="124">
        <f>D109</f>
        <v>201000</v>
      </c>
    </row>
    <row r="109" spans="1:4" ht="45" customHeight="1">
      <c r="A109" s="119" t="s">
        <v>145</v>
      </c>
      <c r="B109" s="119">
        <v>2210</v>
      </c>
      <c r="C109" s="120" t="s">
        <v>27</v>
      </c>
      <c r="D109" s="121">
        <v>201000</v>
      </c>
    </row>
    <row r="110" spans="1:4" s="115" customFormat="1" ht="18" customHeight="1">
      <c r="A110" s="122">
        <v>75095</v>
      </c>
      <c r="B110" s="122" t="s">
        <v>145</v>
      </c>
      <c r="C110" s="123" t="s">
        <v>130</v>
      </c>
      <c r="D110" s="124">
        <f>D111+D112</f>
        <v>1500000</v>
      </c>
    </row>
    <row r="111" spans="1:4" ht="60.75" customHeight="1">
      <c r="A111" s="119" t="s">
        <v>145</v>
      </c>
      <c r="B111" s="119">
        <v>2058</v>
      </c>
      <c r="C111" s="120" t="s">
        <v>148</v>
      </c>
      <c r="D111" s="121">
        <v>1275000</v>
      </c>
    </row>
    <row r="112" spans="1:4" ht="60.75" customHeight="1">
      <c r="A112" s="119" t="s">
        <v>145</v>
      </c>
      <c r="B112" s="119">
        <v>2059</v>
      </c>
      <c r="C112" s="120" t="s">
        <v>148</v>
      </c>
      <c r="D112" s="121">
        <v>225000</v>
      </c>
    </row>
    <row r="113" spans="1:4" s="115" customFormat="1" ht="18.75" customHeight="1">
      <c r="A113" s="125" t="s">
        <v>90</v>
      </c>
      <c r="B113" s="125" t="s">
        <v>145</v>
      </c>
      <c r="C113" s="126" t="s">
        <v>91</v>
      </c>
      <c r="D113" s="127">
        <f>D114</f>
        <v>5000</v>
      </c>
    </row>
    <row r="114" spans="1:4" s="115" customFormat="1" ht="16.5" customHeight="1">
      <c r="A114" s="122">
        <v>75212</v>
      </c>
      <c r="B114" s="122" t="s">
        <v>145</v>
      </c>
      <c r="C114" s="123" t="s">
        <v>146</v>
      </c>
      <c r="D114" s="124">
        <f>D115</f>
        <v>5000</v>
      </c>
    </row>
    <row r="115" spans="1:4" ht="45">
      <c r="A115" s="119" t="s">
        <v>145</v>
      </c>
      <c r="B115" s="119">
        <v>2210</v>
      </c>
      <c r="C115" s="120" t="s">
        <v>27</v>
      </c>
      <c r="D115" s="121">
        <v>5000</v>
      </c>
    </row>
    <row r="116" spans="1:4" s="115" customFormat="1" ht="48.75" customHeight="1">
      <c r="A116" s="125" t="s">
        <v>17</v>
      </c>
      <c r="B116" s="125" t="s">
        <v>145</v>
      </c>
      <c r="C116" s="126" t="s">
        <v>43</v>
      </c>
      <c r="D116" s="127">
        <f>D117+D122</f>
        <v>298935110</v>
      </c>
    </row>
    <row r="117" spans="1:4" s="115" customFormat="1" ht="28.5">
      <c r="A117" s="122">
        <v>75618</v>
      </c>
      <c r="B117" s="122" t="s">
        <v>145</v>
      </c>
      <c r="C117" s="123" t="s">
        <v>44</v>
      </c>
      <c r="D117" s="124">
        <f>SUM(D118:D121)</f>
        <v>1070975</v>
      </c>
    </row>
    <row r="118" spans="1:4" ht="18" customHeight="1">
      <c r="A118" s="119" t="s">
        <v>145</v>
      </c>
      <c r="B118" s="119" t="s">
        <v>45</v>
      </c>
      <c r="C118" s="120" t="s">
        <v>161</v>
      </c>
      <c r="D118" s="121">
        <v>1000000</v>
      </c>
    </row>
    <row r="119" spans="1:4" ht="30">
      <c r="A119" s="119" t="s">
        <v>145</v>
      </c>
      <c r="B119" s="119" t="s">
        <v>197</v>
      </c>
      <c r="C119" s="120" t="s">
        <v>185</v>
      </c>
      <c r="D119" s="121">
        <v>975</v>
      </c>
    </row>
    <row r="120" spans="1:4" ht="30">
      <c r="A120" s="119" t="s">
        <v>145</v>
      </c>
      <c r="B120" s="119" t="s">
        <v>192</v>
      </c>
      <c r="C120" s="120" t="s">
        <v>179</v>
      </c>
      <c r="D120" s="121">
        <v>30000</v>
      </c>
    </row>
    <row r="121" spans="1:4" ht="17.25" customHeight="1">
      <c r="A121" s="119" t="s">
        <v>145</v>
      </c>
      <c r="B121" s="119" t="s">
        <v>131</v>
      </c>
      <c r="C121" s="120" t="s">
        <v>132</v>
      </c>
      <c r="D121" s="121">
        <v>40000</v>
      </c>
    </row>
    <row r="122" spans="1:4" s="115" customFormat="1" ht="17.25" customHeight="1">
      <c r="A122" s="122">
        <v>75623</v>
      </c>
      <c r="B122" s="122" t="s">
        <v>145</v>
      </c>
      <c r="C122" s="123" t="s">
        <v>46</v>
      </c>
      <c r="D122" s="124">
        <f>D123+D124</f>
        <v>297864135</v>
      </c>
    </row>
    <row r="123" spans="1:4" ht="17.25" customHeight="1">
      <c r="A123" s="119" t="s">
        <v>145</v>
      </c>
      <c r="B123" s="119" t="s">
        <v>47</v>
      </c>
      <c r="C123" s="120" t="s">
        <v>157</v>
      </c>
      <c r="D123" s="121">
        <v>79364135</v>
      </c>
    </row>
    <row r="124" spans="1:4" ht="17.25" customHeight="1">
      <c r="A124" s="119" t="s">
        <v>145</v>
      </c>
      <c r="B124" s="119" t="s">
        <v>48</v>
      </c>
      <c r="C124" s="120" t="s">
        <v>158</v>
      </c>
      <c r="D124" s="121">
        <v>218500000</v>
      </c>
    </row>
    <row r="125" spans="1:4" s="115" customFormat="1" ht="17.25" customHeight="1">
      <c r="A125" s="125" t="s">
        <v>92</v>
      </c>
      <c r="B125" s="125" t="s">
        <v>145</v>
      </c>
      <c r="C125" s="126" t="s">
        <v>93</v>
      </c>
      <c r="D125" s="127">
        <f>D126+D128+D130+D132+D134+D140</f>
        <v>655099042</v>
      </c>
    </row>
    <row r="126" spans="1:4" s="115" customFormat="1" ht="17.25" customHeight="1">
      <c r="A126" s="122">
        <v>75801</v>
      </c>
      <c r="B126" s="122" t="s">
        <v>145</v>
      </c>
      <c r="C126" s="123" t="s">
        <v>49</v>
      </c>
      <c r="D126" s="124">
        <f>D127</f>
        <v>59737098</v>
      </c>
    </row>
    <row r="127" spans="1:4" ht="17.25" customHeight="1">
      <c r="A127" s="119" t="s">
        <v>145</v>
      </c>
      <c r="B127" s="119">
        <v>2920</v>
      </c>
      <c r="C127" s="120" t="s">
        <v>50</v>
      </c>
      <c r="D127" s="121">
        <v>59737098</v>
      </c>
    </row>
    <row r="128" spans="1:4" s="115" customFormat="1" ht="17.25" customHeight="1">
      <c r="A128" s="122">
        <v>75804</v>
      </c>
      <c r="B128" s="122" t="s">
        <v>145</v>
      </c>
      <c r="C128" s="123" t="s">
        <v>51</v>
      </c>
      <c r="D128" s="124">
        <f>D129</f>
        <v>120362702</v>
      </c>
    </row>
    <row r="129" spans="1:4" ht="17.25" customHeight="1">
      <c r="A129" s="119" t="s">
        <v>145</v>
      </c>
      <c r="B129" s="119">
        <v>2920</v>
      </c>
      <c r="C129" s="120" t="s">
        <v>50</v>
      </c>
      <c r="D129" s="121">
        <v>120362702</v>
      </c>
    </row>
    <row r="130" spans="1:4" s="115" customFormat="1" ht="17.25" customHeight="1">
      <c r="A130" s="122">
        <v>75814</v>
      </c>
      <c r="B130" s="122" t="s">
        <v>145</v>
      </c>
      <c r="C130" s="123" t="s">
        <v>52</v>
      </c>
      <c r="D130" s="124">
        <f>D131</f>
        <v>1714000</v>
      </c>
    </row>
    <row r="131" spans="1:4" ht="17.25" customHeight="1">
      <c r="A131" s="119" t="s">
        <v>145</v>
      </c>
      <c r="B131" s="119" t="s">
        <v>28</v>
      </c>
      <c r="C131" s="120" t="s">
        <v>155</v>
      </c>
      <c r="D131" s="121">
        <v>1714000</v>
      </c>
    </row>
    <row r="132" spans="1:4" s="115" customFormat="1" ht="17.25" customHeight="1">
      <c r="A132" s="122">
        <v>75833</v>
      </c>
      <c r="B132" s="122" t="s">
        <v>145</v>
      </c>
      <c r="C132" s="123" t="s">
        <v>53</v>
      </c>
      <c r="D132" s="124">
        <f>D133</f>
        <v>60403478</v>
      </c>
    </row>
    <row r="133" spans="1:4" ht="17.25" customHeight="1">
      <c r="A133" s="119" t="s">
        <v>145</v>
      </c>
      <c r="B133" s="119">
        <v>2920</v>
      </c>
      <c r="C133" s="120" t="s">
        <v>50</v>
      </c>
      <c r="D133" s="121">
        <v>60403478</v>
      </c>
    </row>
    <row r="134" spans="1:4" s="115" customFormat="1" ht="28.5">
      <c r="A134" s="122">
        <v>75863</v>
      </c>
      <c r="B134" s="122" t="s">
        <v>145</v>
      </c>
      <c r="C134" s="123" t="s">
        <v>152</v>
      </c>
      <c r="D134" s="124">
        <f>SUM(D135:D139)</f>
        <v>323138084</v>
      </c>
    </row>
    <row r="135" spans="1:4" ht="61.5" customHeight="1">
      <c r="A135" s="119" t="s">
        <v>145</v>
      </c>
      <c r="B135" s="119">
        <v>2007</v>
      </c>
      <c r="C135" s="120" t="s">
        <v>175</v>
      </c>
      <c r="D135" s="121">
        <v>3332520</v>
      </c>
    </row>
    <row r="136" spans="1:4" ht="61.5" customHeight="1">
      <c r="A136" s="128" t="s">
        <v>145</v>
      </c>
      <c r="B136" s="128">
        <v>2057</v>
      </c>
      <c r="C136" s="129" t="s">
        <v>148</v>
      </c>
      <c r="D136" s="130">
        <v>20615844</v>
      </c>
    </row>
    <row r="137" spans="1:4" ht="59.25" customHeight="1">
      <c r="A137" s="131" t="s">
        <v>145</v>
      </c>
      <c r="B137" s="131">
        <v>6207</v>
      </c>
      <c r="C137" s="132" t="s">
        <v>217</v>
      </c>
      <c r="D137" s="133">
        <v>61562693</v>
      </c>
    </row>
    <row r="138" spans="1:4" ht="59.25" customHeight="1">
      <c r="A138" s="119" t="s">
        <v>145</v>
      </c>
      <c r="B138" s="119">
        <v>6209</v>
      </c>
      <c r="C138" s="120" t="s">
        <v>217</v>
      </c>
      <c r="D138" s="121">
        <v>8625000</v>
      </c>
    </row>
    <row r="139" spans="1:4" ht="59.25" customHeight="1">
      <c r="A139" s="119" t="s">
        <v>145</v>
      </c>
      <c r="B139" s="119">
        <v>6257</v>
      </c>
      <c r="C139" s="120" t="s">
        <v>176</v>
      </c>
      <c r="D139" s="121">
        <v>229002027</v>
      </c>
    </row>
    <row r="140" spans="1:4" s="115" customFormat="1" ht="29.25" customHeight="1">
      <c r="A140" s="122">
        <v>75864</v>
      </c>
      <c r="B140" s="122" t="s">
        <v>145</v>
      </c>
      <c r="C140" s="123" t="s">
        <v>54</v>
      </c>
      <c r="D140" s="124">
        <f>SUM(D141:D148)</f>
        <v>89743680</v>
      </c>
    </row>
    <row r="141" spans="1:4" ht="60" customHeight="1">
      <c r="A141" s="119" t="s">
        <v>145</v>
      </c>
      <c r="B141" s="119">
        <v>2007</v>
      </c>
      <c r="C141" s="120" t="s">
        <v>175</v>
      </c>
      <c r="D141" s="121">
        <v>21203853</v>
      </c>
    </row>
    <row r="142" spans="1:4" ht="60" customHeight="1">
      <c r="A142" s="119" t="s">
        <v>145</v>
      </c>
      <c r="B142" s="119">
        <v>2009</v>
      </c>
      <c r="C142" s="120" t="s">
        <v>175</v>
      </c>
      <c r="D142" s="121">
        <v>23167260</v>
      </c>
    </row>
    <row r="143" spans="1:4" ht="60" customHeight="1">
      <c r="A143" s="119" t="s">
        <v>145</v>
      </c>
      <c r="B143" s="119">
        <v>2057</v>
      </c>
      <c r="C143" s="120" t="s">
        <v>148</v>
      </c>
      <c r="D143" s="121">
        <v>10483827</v>
      </c>
    </row>
    <row r="144" spans="1:4" ht="60" customHeight="1">
      <c r="A144" s="119" t="s">
        <v>145</v>
      </c>
      <c r="B144" s="119">
        <v>2058</v>
      </c>
      <c r="C144" s="120" t="s">
        <v>148</v>
      </c>
      <c r="D144" s="121">
        <v>33069650</v>
      </c>
    </row>
    <row r="145" spans="1:4" ht="60" customHeight="1">
      <c r="A145" s="119" t="s">
        <v>145</v>
      </c>
      <c r="B145" s="119">
        <v>2059</v>
      </c>
      <c r="C145" s="120" t="s">
        <v>148</v>
      </c>
      <c r="D145" s="121">
        <v>1286740</v>
      </c>
    </row>
    <row r="146" spans="1:4" ht="60" customHeight="1">
      <c r="A146" s="119" t="s">
        <v>145</v>
      </c>
      <c r="B146" s="119">
        <v>6209</v>
      </c>
      <c r="C146" s="120" t="s">
        <v>217</v>
      </c>
      <c r="D146" s="121">
        <v>442000</v>
      </c>
    </row>
    <row r="147" spans="1:4" ht="60" customHeight="1">
      <c r="A147" s="119" t="s">
        <v>145</v>
      </c>
      <c r="B147" s="119">
        <v>6257</v>
      </c>
      <c r="C147" s="120" t="s">
        <v>176</v>
      </c>
      <c r="D147" s="121">
        <v>81000</v>
      </c>
    </row>
    <row r="148" spans="1:4" ht="60" customHeight="1">
      <c r="A148" s="119" t="s">
        <v>145</v>
      </c>
      <c r="B148" s="119">
        <v>6258</v>
      </c>
      <c r="C148" s="120" t="s">
        <v>176</v>
      </c>
      <c r="D148" s="121">
        <v>9350</v>
      </c>
    </row>
    <row r="149" spans="1:4" s="115" customFormat="1" ht="15.75" customHeight="1">
      <c r="A149" s="125" t="s">
        <v>94</v>
      </c>
      <c r="B149" s="125" t="s">
        <v>145</v>
      </c>
      <c r="C149" s="126" t="s">
        <v>95</v>
      </c>
      <c r="D149" s="127">
        <f>D150+D152+D154+D158+D156+D160+D165+D167+D169+D171+D173</f>
        <v>1483915</v>
      </c>
    </row>
    <row r="150" spans="1:4" s="115" customFormat="1" ht="15.75" customHeight="1">
      <c r="A150" s="122">
        <v>80102</v>
      </c>
      <c r="B150" s="122" t="s">
        <v>145</v>
      </c>
      <c r="C150" s="123" t="s">
        <v>110</v>
      </c>
      <c r="D150" s="124">
        <f>D151</f>
        <v>3250</v>
      </c>
    </row>
    <row r="151" spans="1:4" ht="15.75" customHeight="1">
      <c r="A151" s="119" t="s">
        <v>145</v>
      </c>
      <c r="B151" s="119" t="s">
        <v>29</v>
      </c>
      <c r="C151" s="120" t="s">
        <v>30</v>
      </c>
      <c r="D151" s="121">
        <v>3250</v>
      </c>
    </row>
    <row r="152" spans="1:4" s="115" customFormat="1" ht="15.75" customHeight="1">
      <c r="A152" s="122">
        <v>80111</v>
      </c>
      <c r="B152" s="122" t="s">
        <v>145</v>
      </c>
      <c r="C152" s="123" t="s">
        <v>111</v>
      </c>
      <c r="D152" s="124">
        <f>D153</f>
        <v>210</v>
      </c>
    </row>
    <row r="153" spans="1:4" ht="15.75" customHeight="1">
      <c r="A153" s="119" t="s">
        <v>145</v>
      </c>
      <c r="B153" s="119" t="s">
        <v>29</v>
      </c>
      <c r="C153" s="120" t="s">
        <v>30</v>
      </c>
      <c r="D153" s="121">
        <v>210</v>
      </c>
    </row>
    <row r="154" spans="1:4" s="115" customFormat="1" ht="15.75" customHeight="1">
      <c r="A154" s="122">
        <v>80116</v>
      </c>
      <c r="B154" s="122" t="s">
        <v>145</v>
      </c>
      <c r="C154" s="123" t="s">
        <v>186</v>
      </c>
      <c r="D154" s="124">
        <f>D155</f>
        <v>1150</v>
      </c>
    </row>
    <row r="155" spans="1:4" ht="15.75" customHeight="1">
      <c r="A155" s="119" t="s">
        <v>145</v>
      </c>
      <c r="B155" s="119" t="s">
        <v>29</v>
      </c>
      <c r="C155" s="120" t="s">
        <v>30</v>
      </c>
      <c r="D155" s="121">
        <v>1150</v>
      </c>
    </row>
    <row r="156" spans="1:4" s="115" customFormat="1" ht="15.75" customHeight="1">
      <c r="A156" s="122">
        <v>80121</v>
      </c>
      <c r="B156" s="122" t="s">
        <v>145</v>
      </c>
      <c r="C156" s="123" t="s">
        <v>112</v>
      </c>
      <c r="D156" s="124">
        <f>D157</f>
        <v>720</v>
      </c>
    </row>
    <row r="157" spans="1:4" ht="15.75" customHeight="1">
      <c r="A157" s="119" t="s">
        <v>145</v>
      </c>
      <c r="B157" s="119" t="s">
        <v>29</v>
      </c>
      <c r="C157" s="120" t="s">
        <v>30</v>
      </c>
      <c r="D157" s="121">
        <v>720</v>
      </c>
    </row>
    <row r="158" spans="1:4" s="115" customFormat="1" ht="15.75" customHeight="1">
      <c r="A158" s="122">
        <v>80134</v>
      </c>
      <c r="B158" s="122" t="s">
        <v>145</v>
      </c>
      <c r="C158" s="123" t="s">
        <v>113</v>
      </c>
      <c r="D158" s="124">
        <f>D159</f>
        <v>1510</v>
      </c>
    </row>
    <row r="159" spans="1:4" ht="15.75" customHeight="1">
      <c r="A159" s="119" t="s">
        <v>145</v>
      </c>
      <c r="B159" s="119" t="s">
        <v>29</v>
      </c>
      <c r="C159" s="120" t="s">
        <v>30</v>
      </c>
      <c r="D159" s="121">
        <v>1510</v>
      </c>
    </row>
    <row r="160" spans="1:4" s="115" customFormat="1" ht="28.5">
      <c r="A160" s="122">
        <v>80140</v>
      </c>
      <c r="B160" s="122" t="s">
        <v>145</v>
      </c>
      <c r="C160" s="123" t="s">
        <v>218</v>
      </c>
      <c r="D160" s="124">
        <f>SUM(D161:D164)</f>
        <v>1150550</v>
      </c>
    </row>
    <row r="161" spans="1:4" ht="15.75" customHeight="1">
      <c r="A161" s="119" t="s">
        <v>145</v>
      </c>
      <c r="B161" s="119" t="s">
        <v>40</v>
      </c>
      <c r="C161" s="120" t="s">
        <v>41</v>
      </c>
      <c r="D161" s="121">
        <v>470000</v>
      </c>
    </row>
    <row r="162" spans="1:4" ht="15.75" customHeight="1">
      <c r="A162" s="119" t="s">
        <v>145</v>
      </c>
      <c r="B162" s="119" t="s">
        <v>29</v>
      </c>
      <c r="C162" s="120" t="s">
        <v>30</v>
      </c>
      <c r="D162" s="121">
        <v>550</v>
      </c>
    </row>
    <row r="163" spans="1:4" ht="30">
      <c r="A163" s="128" t="s">
        <v>145</v>
      </c>
      <c r="B163" s="128" t="s">
        <v>220</v>
      </c>
      <c r="C163" s="129" t="s">
        <v>55</v>
      </c>
      <c r="D163" s="130">
        <v>80000</v>
      </c>
    </row>
    <row r="164" spans="1:4" ht="30">
      <c r="A164" s="131" t="s">
        <v>145</v>
      </c>
      <c r="B164" s="131" t="s">
        <v>221</v>
      </c>
      <c r="C164" s="132" t="s">
        <v>187</v>
      </c>
      <c r="D164" s="133">
        <v>600000</v>
      </c>
    </row>
    <row r="165" spans="1:4" s="115" customFormat="1" ht="15.75" customHeight="1">
      <c r="A165" s="122">
        <v>80146</v>
      </c>
      <c r="B165" s="122" t="s">
        <v>145</v>
      </c>
      <c r="C165" s="123" t="s">
        <v>114</v>
      </c>
      <c r="D165" s="124">
        <f>D166</f>
        <v>1750</v>
      </c>
    </row>
    <row r="166" spans="1:4" ht="15.75" customHeight="1">
      <c r="A166" s="119" t="s">
        <v>145</v>
      </c>
      <c r="B166" s="119" t="s">
        <v>29</v>
      </c>
      <c r="C166" s="120" t="s">
        <v>30</v>
      </c>
      <c r="D166" s="121">
        <v>1750</v>
      </c>
    </row>
    <row r="167" spans="1:4" s="115" customFormat="1" ht="15.75" customHeight="1">
      <c r="A167" s="122">
        <v>80147</v>
      </c>
      <c r="B167" s="122" t="s">
        <v>145</v>
      </c>
      <c r="C167" s="123" t="s">
        <v>115</v>
      </c>
      <c r="D167" s="124">
        <f>D168</f>
        <v>1150</v>
      </c>
    </row>
    <row r="168" spans="1:4" ht="15.75" customHeight="1">
      <c r="A168" s="119" t="s">
        <v>145</v>
      </c>
      <c r="B168" s="119" t="s">
        <v>29</v>
      </c>
      <c r="C168" s="120" t="s">
        <v>30</v>
      </c>
      <c r="D168" s="121">
        <v>1150</v>
      </c>
    </row>
    <row r="169" spans="1:4" s="115" customFormat="1" ht="45" customHeight="1">
      <c r="A169" s="122">
        <v>80149</v>
      </c>
      <c r="B169" s="122" t="s">
        <v>145</v>
      </c>
      <c r="C169" s="123" t="s">
        <v>209</v>
      </c>
      <c r="D169" s="124">
        <f>D170</f>
        <v>160</v>
      </c>
    </row>
    <row r="170" spans="1:4" ht="17.25" customHeight="1">
      <c r="A170" s="119" t="s">
        <v>145</v>
      </c>
      <c r="B170" s="119" t="s">
        <v>29</v>
      </c>
      <c r="C170" s="120" t="s">
        <v>30</v>
      </c>
      <c r="D170" s="121">
        <v>160</v>
      </c>
    </row>
    <row r="171" spans="1:4" s="115" customFormat="1" ht="17.25" customHeight="1">
      <c r="A171" s="122">
        <v>80151</v>
      </c>
      <c r="B171" s="122" t="s">
        <v>145</v>
      </c>
      <c r="C171" s="123" t="s">
        <v>188</v>
      </c>
      <c r="D171" s="124">
        <f>D172</f>
        <v>30</v>
      </c>
    </row>
    <row r="172" spans="1:4" ht="17.25" customHeight="1">
      <c r="A172" s="119" t="s">
        <v>145</v>
      </c>
      <c r="B172" s="119" t="s">
        <v>29</v>
      </c>
      <c r="C172" s="120" t="s">
        <v>30</v>
      </c>
      <c r="D172" s="121">
        <v>30</v>
      </c>
    </row>
    <row r="173" spans="1:4" s="115" customFormat="1" ht="17.25" customHeight="1">
      <c r="A173" s="122">
        <v>80195</v>
      </c>
      <c r="B173" s="122" t="s">
        <v>145</v>
      </c>
      <c r="C173" s="123" t="s">
        <v>130</v>
      </c>
      <c r="D173" s="124">
        <f>D174+D175</f>
        <v>323435</v>
      </c>
    </row>
    <row r="174" spans="1:4" ht="60" customHeight="1">
      <c r="A174" s="119" t="s">
        <v>145</v>
      </c>
      <c r="B174" s="119">
        <v>2057</v>
      </c>
      <c r="C174" s="120" t="s">
        <v>148</v>
      </c>
      <c r="D174" s="121">
        <v>288116</v>
      </c>
    </row>
    <row r="175" spans="1:4" ht="59.25" customHeight="1">
      <c r="A175" s="119" t="s">
        <v>145</v>
      </c>
      <c r="B175" s="119">
        <v>2059</v>
      </c>
      <c r="C175" s="120" t="s">
        <v>148</v>
      </c>
      <c r="D175" s="121">
        <v>35319</v>
      </c>
    </row>
    <row r="176" spans="1:4" s="115" customFormat="1" ht="15.75" customHeight="1">
      <c r="A176" s="125" t="s">
        <v>96</v>
      </c>
      <c r="B176" s="125" t="s">
        <v>145</v>
      </c>
      <c r="C176" s="126" t="s">
        <v>97</v>
      </c>
      <c r="D176" s="127">
        <f>D177+D179</f>
        <v>64002</v>
      </c>
    </row>
    <row r="177" spans="1:4" s="115" customFormat="1" ht="30" customHeight="1">
      <c r="A177" s="122">
        <v>85156</v>
      </c>
      <c r="B177" s="122" t="s">
        <v>145</v>
      </c>
      <c r="C177" s="123" t="s">
        <v>116</v>
      </c>
      <c r="D177" s="124">
        <f>D178</f>
        <v>16000</v>
      </c>
    </row>
    <row r="178" spans="1:4" ht="45" customHeight="1">
      <c r="A178" s="119" t="s">
        <v>145</v>
      </c>
      <c r="B178" s="119">
        <v>2210</v>
      </c>
      <c r="C178" s="120" t="s">
        <v>27</v>
      </c>
      <c r="D178" s="121">
        <v>16000</v>
      </c>
    </row>
    <row r="179" spans="1:4" s="115" customFormat="1" ht="15.75" customHeight="1">
      <c r="A179" s="122">
        <v>85195</v>
      </c>
      <c r="B179" s="122" t="s">
        <v>145</v>
      </c>
      <c r="C179" s="123" t="s">
        <v>130</v>
      </c>
      <c r="D179" s="124">
        <f>SUM(D180:D182)</f>
        <v>48002</v>
      </c>
    </row>
    <row r="180" spans="1:4" ht="61.5" customHeight="1">
      <c r="A180" s="119" t="s">
        <v>145</v>
      </c>
      <c r="B180" s="119">
        <v>2057</v>
      </c>
      <c r="C180" s="120" t="s">
        <v>148</v>
      </c>
      <c r="D180" s="121">
        <v>33416</v>
      </c>
    </row>
    <row r="181" spans="1:4" ht="61.5" customHeight="1">
      <c r="A181" s="119" t="s">
        <v>145</v>
      </c>
      <c r="B181" s="119">
        <v>2059</v>
      </c>
      <c r="C181" s="120" t="s">
        <v>148</v>
      </c>
      <c r="D181" s="121">
        <v>2586</v>
      </c>
    </row>
    <row r="182" spans="1:4" ht="45" customHeight="1">
      <c r="A182" s="119" t="s">
        <v>145</v>
      </c>
      <c r="B182" s="119">
        <v>2210</v>
      </c>
      <c r="C182" s="120" t="s">
        <v>27</v>
      </c>
      <c r="D182" s="121">
        <v>12000</v>
      </c>
    </row>
    <row r="183" spans="1:4" s="115" customFormat="1" ht="16.5" customHeight="1">
      <c r="A183" s="125" t="s">
        <v>60</v>
      </c>
      <c r="B183" s="125" t="s">
        <v>145</v>
      </c>
      <c r="C183" s="126" t="s">
        <v>98</v>
      </c>
      <c r="D183" s="127">
        <f>D184+D187+D189</f>
        <v>5096967</v>
      </c>
    </row>
    <row r="184" spans="1:4" s="115" customFormat="1" ht="16.5" customHeight="1">
      <c r="A184" s="122">
        <v>85205</v>
      </c>
      <c r="B184" s="122" t="s">
        <v>145</v>
      </c>
      <c r="C184" s="123" t="s">
        <v>143</v>
      </c>
      <c r="D184" s="124">
        <f>SUM(D185:D186)</f>
        <v>177000</v>
      </c>
    </row>
    <row r="185" spans="1:4" ht="30.75" customHeight="1">
      <c r="A185" s="119" t="s">
        <v>145</v>
      </c>
      <c r="B185" s="119">
        <v>2230</v>
      </c>
      <c r="C185" s="120" t="s">
        <v>36</v>
      </c>
      <c r="D185" s="121">
        <v>100000</v>
      </c>
    </row>
    <row r="186" spans="1:4" ht="46.5" customHeight="1">
      <c r="A186" s="119" t="s">
        <v>145</v>
      </c>
      <c r="B186" s="119">
        <v>2900</v>
      </c>
      <c r="C186" s="120" t="s">
        <v>189</v>
      </c>
      <c r="D186" s="121">
        <v>77000</v>
      </c>
    </row>
    <row r="187" spans="1:4" s="115" customFormat="1" ht="17.25" customHeight="1">
      <c r="A187" s="122">
        <v>85217</v>
      </c>
      <c r="B187" s="122" t="s">
        <v>145</v>
      </c>
      <c r="C187" s="123" t="s">
        <v>117</v>
      </c>
      <c r="D187" s="124">
        <f>D188</f>
        <v>3000</v>
      </c>
    </row>
    <row r="188" spans="1:4" ht="17.25" customHeight="1">
      <c r="A188" s="119" t="s">
        <v>145</v>
      </c>
      <c r="B188" s="119" t="s">
        <v>29</v>
      </c>
      <c r="C188" s="120" t="s">
        <v>30</v>
      </c>
      <c r="D188" s="121">
        <v>3000</v>
      </c>
    </row>
    <row r="189" spans="1:4" s="115" customFormat="1" ht="17.25" customHeight="1">
      <c r="A189" s="122">
        <v>85295</v>
      </c>
      <c r="B189" s="122" t="s">
        <v>145</v>
      </c>
      <c r="C189" s="123" t="s">
        <v>130</v>
      </c>
      <c r="D189" s="124">
        <f>SUM(D190:D193)</f>
        <v>4916967</v>
      </c>
    </row>
    <row r="190" spans="1:4" ht="60.75" customHeight="1">
      <c r="A190" s="119" t="s">
        <v>145</v>
      </c>
      <c r="B190" s="119">
        <v>2007</v>
      </c>
      <c r="C190" s="120" t="s">
        <v>175</v>
      </c>
      <c r="D190" s="121">
        <v>3153507</v>
      </c>
    </row>
    <row r="191" spans="1:4" ht="60" customHeight="1">
      <c r="A191" s="119" t="s">
        <v>145</v>
      </c>
      <c r="B191" s="119">
        <v>2009</v>
      </c>
      <c r="C191" s="120" t="s">
        <v>175</v>
      </c>
      <c r="D191" s="121">
        <v>588197</v>
      </c>
    </row>
    <row r="192" spans="1:4" ht="60.75" customHeight="1">
      <c r="A192" s="128" t="s">
        <v>145</v>
      </c>
      <c r="B192" s="128">
        <v>2057</v>
      </c>
      <c r="C192" s="129" t="s">
        <v>148</v>
      </c>
      <c r="D192" s="130">
        <v>1049362</v>
      </c>
    </row>
    <row r="193" spans="1:4" ht="60" customHeight="1">
      <c r="A193" s="135" t="s">
        <v>145</v>
      </c>
      <c r="B193" s="135">
        <v>2059</v>
      </c>
      <c r="C193" s="136" t="s">
        <v>148</v>
      </c>
      <c r="D193" s="137">
        <v>125901</v>
      </c>
    </row>
    <row r="194" spans="1:4" s="115" customFormat="1" ht="18" customHeight="1">
      <c r="A194" s="125" t="s">
        <v>99</v>
      </c>
      <c r="B194" s="125" t="s">
        <v>145</v>
      </c>
      <c r="C194" s="126" t="s">
        <v>118</v>
      </c>
      <c r="D194" s="127">
        <f>D195+D199+D201</f>
        <v>7789952</v>
      </c>
    </row>
    <row r="195" spans="1:4" s="115" customFormat="1" ht="18" customHeight="1">
      <c r="A195" s="122">
        <v>85324</v>
      </c>
      <c r="B195" s="122" t="s">
        <v>145</v>
      </c>
      <c r="C195" s="123" t="s">
        <v>119</v>
      </c>
      <c r="D195" s="124">
        <f>SUM(D196:D198)</f>
        <v>2155251</v>
      </c>
    </row>
    <row r="196" spans="1:4" ht="45">
      <c r="A196" s="119" t="s">
        <v>145</v>
      </c>
      <c r="B196" s="119" t="s">
        <v>215</v>
      </c>
      <c r="C196" s="120" t="s">
        <v>210</v>
      </c>
      <c r="D196" s="121">
        <v>908183</v>
      </c>
    </row>
    <row r="197" spans="1:4" ht="18" customHeight="1">
      <c r="A197" s="119" t="s">
        <v>145</v>
      </c>
      <c r="B197" s="119" t="s">
        <v>29</v>
      </c>
      <c r="C197" s="120" t="s">
        <v>30</v>
      </c>
      <c r="D197" s="121">
        <v>247068</v>
      </c>
    </row>
    <row r="198" spans="1:4" ht="60">
      <c r="A198" s="119" t="s">
        <v>145</v>
      </c>
      <c r="B198" s="119">
        <v>6660</v>
      </c>
      <c r="C198" s="120" t="s">
        <v>211</v>
      </c>
      <c r="D198" s="121">
        <v>1000000</v>
      </c>
    </row>
    <row r="199" spans="1:4" s="115" customFormat="1" ht="18.75" customHeight="1">
      <c r="A199" s="122">
        <v>85325</v>
      </c>
      <c r="B199" s="122" t="s">
        <v>145</v>
      </c>
      <c r="C199" s="123" t="s">
        <v>59</v>
      </c>
      <c r="D199" s="124">
        <f>D200</f>
        <v>1230000</v>
      </c>
    </row>
    <row r="200" spans="1:4" ht="18.75" customHeight="1">
      <c r="A200" s="119" t="s">
        <v>145</v>
      </c>
      <c r="B200" s="119" t="s">
        <v>29</v>
      </c>
      <c r="C200" s="120" t="s">
        <v>30</v>
      </c>
      <c r="D200" s="121">
        <v>1230000</v>
      </c>
    </row>
    <row r="201" spans="1:4" s="115" customFormat="1" ht="18.75" customHeight="1">
      <c r="A201" s="122">
        <v>85332</v>
      </c>
      <c r="B201" s="122" t="s">
        <v>145</v>
      </c>
      <c r="C201" s="123" t="s">
        <v>120</v>
      </c>
      <c r="D201" s="124">
        <f>SUM(D202:D207)</f>
        <v>4404701</v>
      </c>
    </row>
    <row r="202" spans="1:4" ht="18.75" customHeight="1">
      <c r="A202" s="119" t="s">
        <v>145</v>
      </c>
      <c r="B202" s="119" t="s">
        <v>28</v>
      </c>
      <c r="C202" s="120" t="s">
        <v>155</v>
      </c>
      <c r="D202" s="121">
        <v>100</v>
      </c>
    </row>
    <row r="203" spans="1:4" ht="18.75" customHeight="1">
      <c r="A203" s="119" t="s">
        <v>145</v>
      </c>
      <c r="B203" s="119" t="s">
        <v>29</v>
      </c>
      <c r="C203" s="120" t="s">
        <v>30</v>
      </c>
      <c r="D203" s="121">
        <v>19800</v>
      </c>
    </row>
    <row r="204" spans="1:4" ht="60">
      <c r="A204" s="119" t="s">
        <v>145</v>
      </c>
      <c r="B204" s="119">
        <v>2009</v>
      </c>
      <c r="C204" s="120" t="s">
        <v>175</v>
      </c>
      <c r="D204" s="121">
        <v>1876000</v>
      </c>
    </row>
    <row r="205" spans="1:4" ht="60">
      <c r="A205" s="119" t="s">
        <v>145</v>
      </c>
      <c r="B205" s="119">
        <v>2058</v>
      </c>
      <c r="C205" s="120" t="s">
        <v>148</v>
      </c>
      <c r="D205" s="121">
        <v>2474801</v>
      </c>
    </row>
    <row r="206" spans="1:4" ht="45">
      <c r="A206" s="119" t="s">
        <v>145</v>
      </c>
      <c r="B206" s="119">
        <v>2210</v>
      </c>
      <c r="C206" s="120" t="s">
        <v>27</v>
      </c>
      <c r="D206" s="121">
        <v>14000</v>
      </c>
    </row>
    <row r="207" spans="1:4" ht="60">
      <c r="A207" s="128" t="s">
        <v>145</v>
      </c>
      <c r="B207" s="128">
        <v>6258</v>
      </c>
      <c r="C207" s="129" t="s">
        <v>176</v>
      </c>
      <c r="D207" s="130">
        <v>20000</v>
      </c>
    </row>
    <row r="208" spans="1:4" s="115" customFormat="1" ht="15.75" customHeight="1">
      <c r="A208" s="125" t="s">
        <v>61</v>
      </c>
      <c r="B208" s="125" t="s">
        <v>145</v>
      </c>
      <c r="C208" s="126" t="s">
        <v>63</v>
      </c>
      <c r="D208" s="127">
        <f>D209+D211+D213</f>
        <v>6350</v>
      </c>
    </row>
    <row r="209" spans="1:4" s="115" customFormat="1" ht="15.75" customHeight="1">
      <c r="A209" s="122">
        <v>85403</v>
      </c>
      <c r="B209" s="122" t="s">
        <v>145</v>
      </c>
      <c r="C209" s="123" t="s">
        <v>121</v>
      </c>
      <c r="D209" s="124">
        <f>D210</f>
        <v>5800</v>
      </c>
    </row>
    <row r="210" spans="1:4" ht="15.75" customHeight="1">
      <c r="A210" s="119" t="s">
        <v>145</v>
      </c>
      <c r="B210" s="119" t="s">
        <v>29</v>
      </c>
      <c r="C210" s="120" t="s">
        <v>30</v>
      </c>
      <c r="D210" s="121">
        <v>5800</v>
      </c>
    </row>
    <row r="211" spans="1:4" s="115" customFormat="1" ht="15.75" customHeight="1">
      <c r="A211" s="122">
        <v>85404</v>
      </c>
      <c r="B211" s="122" t="s">
        <v>145</v>
      </c>
      <c r="C211" s="123" t="s">
        <v>144</v>
      </c>
      <c r="D211" s="124">
        <f>D212</f>
        <v>190</v>
      </c>
    </row>
    <row r="212" spans="1:4" ht="15.75" customHeight="1">
      <c r="A212" s="119" t="s">
        <v>145</v>
      </c>
      <c r="B212" s="119" t="s">
        <v>29</v>
      </c>
      <c r="C212" s="120" t="s">
        <v>30</v>
      </c>
      <c r="D212" s="121">
        <v>190</v>
      </c>
    </row>
    <row r="213" spans="1:4" s="115" customFormat="1" ht="15.75" customHeight="1">
      <c r="A213" s="122">
        <v>85407</v>
      </c>
      <c r="B213" s="122" t="s">
        <v>145</v>
      </c>
      <c r="C213" s="123" t="s">
        <v>122</v>
      </c>
      <c r="D213" s="124">
        <f>D214</f>
        <v>360</v>
      </c>
    </row>
    <row r="214" spans="1:4" ht="15.75" customHeight="1">
      <c r="A214" s="119" t="s">
        <v>145</v>
      </c>
      <c r="B214" s="119" t="s">
        <v>29</v>
      </c>
      <c r="C214" s="120" t="s">
        <v>30</v>
      </c>
      <c r="D214" s="121">
        <v>360</v>
      </c>
    </row>
    <row r="215" spans="1:4" s="115" customFormat="1" ht="15.75" customHeight="1">
      <c r="A215" s="125" t="s">
        <v>163</v>
      </c>
      <c r="B215" s="125" t="s">
        <v>145</v>
      </c>
      <c r="C215" s="126" t="s">
        <v>164</v>
      </c>
      <c r="D215" s="127">
        <f>D216</f>
        <v>1761000</v>
      </c>
    </row>
    <row r="216" spans="1:4" s="115" customFormat="1" ht="15.75" customHeight="1">
      <c r="A216" s="122">
        <v>85509</v>
      </c>
      <c r="B216" s="122" t="s">
        <v>145</v>
      </c>
      <c r="C216" s="123" t="s">
        <v>170</v>
      </c>
      <c r="D216" s="124">
        <f>D217</f>
        <v>1761000</v>
      </c>
    </row>
    <row r="217" spans="1:4" ht="45">
      <c r="A217" s="119" t="s">
        <v>145</v>
      </c>
      <c r="B217" s="119">
        <v>2210</v>
      </c>
      <c r="C217" s="120" t="s">
        <v>27</v>
      </c>
      <c r="D217" s="121">
        <v>1761000</v>
      </c>
    </row>
    <row r="218" spans="1:4" s="115" customFormat="1" ht="14.25">
      <c r="A218" s="125" t="s">
        <v>100</v>
      </c>
      <c r="B218" s="125" t="s">
        <v>145</v>
      </c>
      <c r="C218" s="126" t="s">
        <v>101</v>
      </c>
      <c r="D218" s="127">
        <f>D219+D221+D223+D225+D227+D229+D231</f>
        <v>3130029</v>
      </c>
    </row>
    <row r="219" spans="1:4" s="115" customFormat="1" ht="15.75" customHeight="1">
      <c r="A219" s="122">
        <v>90005</v>
      </c>
      <c r="B219" s="122" t="s">
        <v>145</v>
      </c>
      <c r="C219" s="123" t="s">
        <v>123</v>
      </c>
      <c r="D219" s="124">
        <f>D220</f>
        <v>137000</v>
      </c>
    </row>
    <row r="220" spans="1:4" ht="45">
      <c r="A220" s="119" t="s">
        <v>145</v>
      </c>
      <c r="B220" s="119">
        <v>2210</v>
      </c>
      <c r="C220" s="120" t="s">
        <v>27</v>
      </c>
      <c r="D220" s="121">
        <v>137000</v>
      </c>
    </row>
    <row r="221" spans="1:4" s="115" customFormat="1" ht="15.75" customHeight="1">
      <c r="A221" s="122">
        <v>90007</v>
      </c>
      <c r="B221" s="122" t="s">
        <v>145</v>
      </c>
      <c r="C221" s="123" t="s">
        <v>124</v>
      </c>
      <c r="D221" s="124">
        <f>D222</f>
        <v>59000</v>
      </c>
    </row>
    <row r="222" spans="1:4" ht="45">
      <c r="A222" s="119" t="s">
        <v>145</v>
      </c>
      <c r="B222" s="119">
        <v>2210</v>
      </c>
      <c r="C222" s="120" t="s">
        <v>27</v>
      </c>
      <c r="D222" s="121">
        <v>59000</v>
      </c>
    </row>
    <row r="223" spans="1:4" s="115" customFormat="1" ht="28.5">
      <c r="A223" s="122">
        <v>90019</v>
      </c>
      <c r="B223" s="122" t="s">
        <v>145</v>
      </c>
      <c r="C223" s="123" t="s">
        <v>198</v>
      </c>
      <c r="D223" s="124">
        <f>D224</f>
        <v>869873</v>
      </c>
    </row>
    <row r="224" spans="1:4" ht="16.5" customHeight="1">
      <c r="A224" s="119" t="s">
        <v>145</v>
      </c>
      <c r="B224" s="119" t="s">
        <v>131</v>
      </c>
      <c r="C224" s="120" t="s">
        <v>132</v>
      </c>
      <c r="D224" s="121">
        <v>869873</v>
      </c>
    </row>
    <row r="225" spans="1:4" s="115" customFormat="1" ht="16.5" customHeight="1">
      <c r="A225" s="122">
        <v>90020</v>
      </c>
      <c r="B225" s="122" t="s">
        <v>145</v>
      </c>
      <c r="C225" s="123" t="s">
        <v>125</v>
      </c>
      <c r="D225" s="124">
        <f>D226</f>
        <v>6200</v>
      </c>
    </row>
    <row r="226" spans="1:4" ht="16.5" customHeight="1">
      <c r="A226" s="128" t="s">
        <v>145</v>
      </c>
      <c r="B226" s="128" t="s">
        <v>56</v>
      </c>
      <c r="C226" s="129" t="s">
        <v>57</v>
      </c>
      <c r="D226" s="130">
        <v>6200</v>
      </c>
    </row>
    <row r="227" spans="1:4" s="115" customFormat="1" ht="30" customHeight="1">
      <c r="A227" s="122">
        <v>90024</v>
      </c>
      <c r="B227" s="122" t="s">
        <v>145</v>
      </c>
      <c r="C227" s="123" t="s">
        <v>147</v>
      </c>
      <c r="D227" s="124">
        <f>D228</f>
        <v>2000</v>
      </c>
    </row>
    <row r="228" spans="1:4" ht="16.5" customHeight="1">
      <c r="A228" s="119" t="s">
        <v>145</v>
      </c>
      <c r="B228" s="119" t="s">
        <v>131</v>
      </c>
      <c r="C228" s="120" t="s">
        <v>132</v>
      </c>
      <c r="D228" s="121">
        <v>2000</v>
      </c>
    </row>
    <row r="229" spans="1:4" s="115" customFormat="1" ht="16.5" customHeight="1">
      <c r="A229" s="122">
        <v>90026</v>
      </c>
      <c r="B229" s="122" t="s">
        <v>145</v>
      </c>
      <c r="C229" s="123" t="s">
        <v>212</v>
      </c>
      <c r="D229" s="124">
        <f>D230</f>
        <v>100</v>
      </c>
    </row>
    <row r="230" spans="1:4" ht="16.5" customHeight="1">
      <c r="A230" s="119" t="s">
        <v>145</v>
      </c>
      <c r="B230" s="119" t="s">
        <v>216</v>
      </c>
      <c r="C230" s="120" t="s">
        <v>213</v>
      </c>
      <c r="D230" s="121">
        <v>100</v>
      </c>
    </row>
    <row r="231" spans="1:4" s="115" customFormat="1" ht="16.5" customHeight="1">
      <c r="A231" s="122">
        <v>90095</v>
      </c>
      <c r="B231" s="122" t="s">
        <v>145</v>
      </c>
      <c r="C231" s="123" t="s">
        <v>130</v>
      </c>
      <c r="D231" s="124">
        <f>SUM(D232:D236)</f>
        <v>2055856</v>
      </c>
    </row>
    <row r="232" spans="1:4" ht="16.5" customHeight="1">
      <c r="A232" s="119" t="s">
        <v>145</v>
      </c>
      <c r="B232" s="119" t="s">
        <v>131</v>
      </c>
      <c r="C232" s="120" t="s">
        <v>132</v>
      </c>
      <c r="D232" s="121">
        <v>80678</v>
      </c>
    </row>
    <row r="233" spans="1:4" ht="60.75" customHeight="1">
      <c r="A233" s="119" t="s">
        <v>145</v>
      </c>
      <c r="B233" s="119">
        <v>2057</v>
      </c>
      <c r="C233" s="120" t="s">
        <v>148</v>
      </c>
      <c r="D233" s="121">
        <v>646841</v>
      </c>
    </row>
    <row r="234" spans="1:4" ht="60" customHeight="1">
      <c r="A234" s="119" t="s">
        <v>145</v>
      </c>
      <c r="B234" s="119">
        <v>2058</v>
      </c>
      <c r="C234" s="120" t="s">
        <v>148</v>
      </c>
      <c r="D234" s="121">
        <v>92625</v>
      </c>
    </row>
    <row r="235" spans="1:4" ht="46.5" customHeight="1">
      <c r="A235" s="119" t="s">
        <v>145</v>
      </c>
      <c r="B235" s="119">
        <v>2210</v>
      </c>
      <c r="C235" s="120" t="s">
        <v>27</v>
      </c>
      <c r="D235" s="121">
        <v>517000</v>
      </c>
    </row>
    <row r="236" spans="1:4" ht="46.5" customHeight="1">
      <c r="A236" s="119" t="s">
        <v>145</v>
      </c>
      <c r="B236" s="119">
        <v>2469</v>
      </c>
      <c r="C236" s="120" t="s">
        <v>190</v>
      </c>
      <c r="D236" s="121">
        <v>718712</v>
      </c>
    </row>
    <row r="237" spans="1:4" s="115" customFormat="1" ht="16.5" customHeight="1">
      <c r="A237" s="125" t="s">
        <v>102</v>
      </c>
      <c r="B237" s="125" t="s">
        <v>145</v>
      </c>
      <c r="C237" s="126" t="s">
        <v>103</v>
      </c>
      <c r="D237" s="127">
        <f>D238+D240+D242+D244</f>
        <v>15856374</v>
      </c>
    </row>
    <row r="238" spans="1:4" s="115" customFormat="1" ht="16.5" customHeight="1">
      <c r="A238" s="122">
        <v>92105</v>
      </c>
      <c r="B238" s="122" t="s">
        <v>145</v>
      </c>
      <c r="C238" s="123" t="s">
        <v>214</v>
      </c>
      <c r="D238" s="124">
        <f>D239</f>
        <v>1000000</v>
      </c>
    </row>
    <row r="239" spans="1:4" ht="45.75" customHeight="1">
      <c r="A239" s="119" t="s">
        <v>145</v>
      </c>
      <c r="B239" s="119">
        <v>6300</v>
      </c>
      <c r="C239" s="120" t="s">
        <v>171</v>
      </c>
      <c r="D239" s="121">
        <v>1000000</v>
      </c>
    </row>
    <row r="240" spans="1:4" s="115" customFormat="1" ht="16.5" customHeight="1">
      <c r="A240" s="122">
        <v>92109</v>
      </c>
      <c r="B240" s="122" t="s">
        <v>145</v>
      </c>
      <c r="C240" s="123" t="s">
        <v>126</v>
      </c>
      <c r="D240" s="124">
        <f>D241</f>
        <v>68160</v>
      </c>
    </row>
    <row r="241" spans="1:4" ht="33.75" customHeight="1">
      <c r="A241" s="119" t="s">
        <v>145</v>
      </c>
      <c r="B241" s="119">
        <v>2310</v>
      </c>
      <c r="C241" s="120" t="s">
        <v>55</v>
      </c>
      <c r="D241" s="121">
        <v>68160</v>
      </c>
    </row>
    <row r="242" spans="1:4" s="115" customFormat="1" ht="19.5" customHeight="1">
      <c r="A242" s="122">
        <v>92116</v>
      </c>
      <c r="B242" s="122" t="s">
        <v>145</v>
      </c>
      <c r="C242" s="123" t="s">
        <v>127</v>
      </c>
      <c r="D242" s="124">
        <f>D243</f>
        <v>3200000</v>
      </c>
    </row>
    <row r="243" spans="1:4" ht="30">
      <c r="A243" s="119" t="s">
        <v>145</v>
      </c>
      <c r="B243" s="119">
        <v>2310</v>
      </c>
      <c r="C243" s="120" t="s">
        <v>55</v>
      </c>
      <c r="D243" s="121">
        <v>3200000</v>
      </c>
    </row>
    <row r="244" spans="1:4" s="115" customFormat="1" ht="15.75" customHeight="1">
      <c r="A244" s="122">
        <v>92195</v>
      </c>
      <c r="B244" s="122" t="s">
        <v>145</v>
      </c>
      <c r="C244" s="123" t="s">
        <v>130</v>
      </c>
      <c r="D244" s="124">
        <f>SUM(D245:D247)</f>
        <v>11588214</v>
      </c>
    </row>
    <row r="245" spans="1:4" ht="60">
      <c r="A245" s="119" t="s">
        <v>145</v>
      </c>
      <c r="B245" s="119">
        <v>2057</v>
      </c>
      <c r="C245" s="120" t="s">
        <v>148</v>
      </c>
      <c r="D245" s="121">
        <v>275558</v>
      </c>
    </row>
    <row r="246" spans="1:4" ht="60">
      <c r="A246" s="119" t="s">
        <v>145</v>
      </c>
      <c r="B246" s="119">
        <v>2058</v>
      </c>
      <c r="C246" s="120" t="s">
        <v>148</v>
      </c>
      <c r="D246" s="121">
        <v>193586</v>
      </c>
    </row>
    <row r="247" spans="1:4" ht="60">
      <c r="A247" s="119" t="s">
        <v>145</v>
      </c>
      <c r="B247" s="119">
        <v>6257</v>
      </c>
      <c r="C247" s="120" t="s">
        <v>176</v>
      </c>
      <c r="D247" s="121">
        <v>11119070</v>
      </c>
    </row>
    <row r="248" spans="1:4" s="115" customFormat="1" ht="32.25" customHeight="1">
      <c r="A248" s="125" t="s">
        <v>62</v>
      </c>
      <c r="B248" s="125" t="s">
        <v>145</v>
      </c>
      <c r="C248" s="126" t="s">
        <v>104</v>
      </c>
      <c r="D248" s="127">
        <f>D249</f>
        <v>3925262</v>
      </c>
    </row>
    <row r="249" spans="1:4" s="115" customFormat="1" ht="18" customHeight="1">
      <c r="A249" s="122">
        <v>92502</v>
      </c>
      <c r="B249" s="122" t="s">
        <v>145</v>
      </c>
      <c r="C249" s="123" t="s">
        <v>128</v>
      </c>
      <c r="D249" s="124">
        <f>SUM(D250:D254)</f>
        <v>3925262</v>
      </c>
    </row>
    <row r="250" spans="1:4" ht="18" customHeight="1">
      <c r="A250" s="119" t="s">
        <v>145</v>
      </c>
      <c r="B250" s="119" t="s">
        <v>29</v>
      </c>
      <c r="C250" s="120" t="s">
        <v>30</v>
      </c>
      <c r="D250" s="121">
        <v>101000</v>
      </c>
    </row>
    <row r="251" spans="1:4" ht="30">
      <c r="A251" s="119" t="s">
        <v>145</v>
      </c>
      <c r="B251" s="119">
        <v>2230</v>
      </c>
      <c r="C251" s="120" t="s">
        <v>36</v>
      </c>
      <c r="D251" s="121">
        <v>2180000</v>
      </c>
    </row>
    <row r="252" spans="1:4" ht="47.25" customHeight="1">
      <c r="A252" s="119" t="s">
        <v>145</v>
      </c>
      <c r="B252" s="119">
        <v>2460</v>
      </c>
      <c r="C252" s="120" t="s">
        <v>190</v>
      </c>
      <c r="D252" s="121">
        <v>1249098</v>
      </c>
    </row>
    <row r="253" spans="1:4" ht="47.25" customHeight="1">
      <c r="A253" s="119" t="s">
        <v>145</v>
      </c>
      <c r="B253" s="119">
        <v>6289</v>
      </c>
      <c r="C253" s="120" t="s">
        <v>31</v>
      </c>
      <c r="D253" s="121">
        <v>270164</v>
      </c>
    </row>
    <row r="254" spans="1:4" ht="47.25" customHeight="1">
      <c r="A254" s="128" t="s">
        <v>145</v>
      </c>
      <c r="B254" s="128">
        <v>6309</v>
      </c>
      <c r="C254" s="129" t="s">
        <v>171</v>
      </c>
      <c r="D254" s="130">
        <v>125000</v>
      </c>
    </row>
  </sheetData>
  <sheetProtection password="C25B" sheet="1"/>
  <mergeCells count="6">
    <mergeCell ref="C1:D1"/>
    <mergeCell ref="C2:D2"/>
    <mergeCell ref="C3:D3"/>
    <mergeCell ref="A5:D5"/>
    <mergeCell ref="A6:D6"/>
    <mergeCell ref="A7:D7"/>
  </mergeCells>
  <printOptions horizontalCentered="1"/>
  <pageMargins left="0.984251968503937" right="0.984251968503937" top="0.984251968503937" bottom="0.7480314960629921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1"/>
  <sheetViews>
    <sheetView view="pageBreakPreview" zoomScaleSheetLayoutView="100" zoomScalePageLayoutView="0" workbookViewId="0" topLeftCell="A117">
      <selection activeCell="B131" sqref="B131"/>
    </sheetView>
  </sheetViews>
  <sheetFormatPr defaultColWidth="8.796875" defaultRowHeight="14.25"/>
  <cols>
    <col min="1" max="1" width="7" style="140" customWidth="1"/>
    <col min="2" max="2" width="31.5" style="141" customWidth="1"/>
    <col min="3" max="3" width="14.8984375" style="142" customWidth="1"/>
    <col min="4" max="4" width="14.69921875" style="141" customWidth="1"/>
    <col min="5" max="5" width="14.09765625" style="141" customWidth="1"/>
    <col min="6" max="6" width="13.3984375" style="141" customWidth="1"/>
    <col min="7" max="7" width="13.5" style="141" customWidth="1"/>
    <col min="8" max="8" width="13.8984375" style="141" customWidth="1"/>
    <col min="9" max="9" width="11.19921875" style="141" customWidth="1"/>
    <col min="10" max="10" width="13.3984375" style="141" customWidth="1"/>
    <col min="11" max="11" width="13.19921875" style="141" customWidth="1"/>
    <col min="12" max="12" width="13.69921875" style="141" customWidth="1"/>
    <col min="13" max="13" width="13.5" style="141" customWidth="1"/>
    <col min="14" max="14" width="14.5" style="141" customWidth="1"/>
    <col min="15" max="15" width="13" style="141" customWidth="1"/>
    <col min="16" max="16384" width="9" style="141" customWidth="1"/>
  </cols>
  <sheetData>
    <row r="1" ht="12.75">
      <c r="M1" s="141" t="s">
        <v>222</v>
      </c>
    </row>
    <row r="2" ht="12.75">
      <c r="M2" s="141" t="s">
        <v>333</v>
      </c>
    </row>
    <row r="3" ht="12.75">
      <c r="M3" s="141" t="s">
        <v>334</v>
      </c>
    </row>
    <row r="4" spans="1:15" s="143" customFormat="1" ht="18.75">
      <c r="A4" s="927" t="s">
        <v>223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</row>
    <row r="5" spans="1:15" s="143" customFormat="1" ht="18.75">
      <c r="A5" s="927" t="s">
        <v>200</v>
      </c>
      <c r="B5" s="927"/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</row>
    <row r="6" ht="13.5" thickBot="1">
      <c r="N6" s="140" t="s">
        <v>70</v>
      </c>
    </row>
    <row r="7" spans="1:15" s="144" customFormat="1" ht="16.5" customHeight="1">
      <c r="A7" s="928" t="s">
        <v>224</v>
      </c>
      <c r="B7" s="931" t="s">
        <v>72</v>
      </c>
      <c r="C7" s="933" t="s">
        <v>73</v>
      </c>
      <c r="D7" s="936" t="s">
        <v>225</v>
      </c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8"/>
    </row>
    <row r="8" spans="1:15" s="144" customFormat="1" ht="14.25" customHeight="1">
      <c r="A8" s="929"/>
      <c r="B8" s="932"/>
      <c r="C8" s="934"/>
      <c r="D8" s="921" t="s">
        <v>226</v>
      </c>
      <c r="E8" s="925" t="s">
        <v>227</v>
      </c>
      <c r="F8" s="939"/>
      <c r="G8" s="939"/>
      <c r="H8" s="939"/>
      <c r="I8" s="939"/>
      <c r="J8" s="939"/>
      <c r="K8" s="926"/>
      <c r="L8" s="921" t="s">
        <v>228</v>
      </c>
      <c r="M8" s="925" t="s">
        <v>227</v>
      </c>
      <c r="N8" s="939"/>
      <c r="O8" s="940"/>
    </row>
    <row r="9" spans="1:15" s="144" customFormat="1" ht="14.25" customHeight="1">
      <c r="A9" s="929"/>
      <c r="B9" s="932"/>
      <c r="C9" s="934"/>
      <c r="D9" s="932"/>
      <c r="E9" s="921" t="s">
        <v>229</v>
      </c>
      <c r="F9" s="925" t="s">
        <v>227</v>
      </c>
      <c r="G9" s="926"/>
      <c r="H9" s="921" t="s">
        <v>230</v>
      </c>
      <c r="I9" s="921" t="s">
        <v>231</v>
      </c>
      <c r="J9" s="921" t="s">
        <v>232</v>
      </c>
      <c r="K9" s="921" t="s">
        <v>233</v>
      </c>
      <c r="L9" s="932"/>
      <c r="M9" s="921" t="s">
        <v>234</v>
      </c>
      <c r="N9" s="145" t="s">
        <v>227</v>
      </c>
      <c r="O9" s="923" t="s">
        <v>235</v>
      </c>
    </row>
    <row r="10" spans="1:15" s="144" customFormat="1" ht="63.75" customHeight="1" thickBot="1">
      <c r="A10" s="930"/>
      <c r="B10" s="922"/>
      <c r="C10" s="935"/>
      <c r="D10" s="922"/>
      <c r="E10" s="922"/>
      <c r="F10" s="146" t="s">
        <v>236</v>
      </c>
      <c r="G10" s="146" t="s">
        <v>237</v>
      </c>
      <c r="H10" s="922"/>
      <c r="I10" s="922"/>
      <c r="J10" s="922"/>
      <c r="K10" s="922"/>
      <c r="L10" s="922"/>
      <c r="M10" s="922"/>
      <c r="N10" s="147" t="s">
        <v>232</v>
      </c>
      <c r="O10" s="924"/>
    </row>
    <row r="11" spans="1:15" s="152" customFormat="1" ht="13.5" thickBot="1">
      <c r="A11" s="148">
        <v>1</v>
      </c>
      <c r="B11" s="149">
        <v>2</v>
      </c>
      <c r="C11" s="150">
        <v>3</v>
      </c>
      <c r="D11" s="149">
        <v>4</v>
      </c>
      <c r="E11" s="149">
        <v>5</v>
      </c>
      <c r="F11" s="149">
        <v>6</v>
      </c>
      <c r="G11" s="149">
        <v>7</v>
      </c>
      <c r="H11" s="149">
        <v>8</v>
      </c>
      <c r="I11" s="149">
        <v>9</v>
      </c>
      <c r="J11" s="149">
        <v>10</v>
      </c>
      <c r="K11" s="149">
        <v>11</v>
      </c>
      <c r="L11" s="149">
        <v>12</v>
      </c>
      <c r="M11" s="149">
        <v>13</v>
      </c>
      <c r="N11" s="149">
        <v>14</v>
      </c>
      <c r="O11" s="151">
        <v>15</v>
      </c>
    </row>
    <row r="12" spans="1:15" s="157" customFormat="1" ht="4.5" customHeight="1" thickBot="1">
      <c r="A12" s="153"/>
      <c r="B12" s="154"/>
      <c r="C12" s="155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6"/>
    </row>
    <row r="13" spans="1:16" s="163" customFormat="1" ht="18" customHeight="1" thickBot="1">
      <c r="A13" s="158"/>
      <c r="B13" s="159" t="s">
        <v>238</v>
      </c>
      <c r="C13" s="160">
        <f aca="true" t="shared" si="0" ref="C13:O13">C15+C21+C24+C28+C30+C38+C41+C43+C48+C50+C57+C59+C61+C64+C66+C80+C82+C91+C97+C103+C112+C114+C122+C133+C135</f>
        <v>1126737908</v>
      </c>
      <c r="D13" s="160">
        <f t="shared" si="0"/>
        <v>650633391</v>
      </c>
      <c r="E13" s="160">
        <f t="shared" si="0"/>
        <v>269263390</v>
      </c>
      <c r="F13" s="160">
        <f t="shared" si="0"/>
        <v>141766302</v>
      </c>
      <c r="G13" s="160">
        <f t="shared" si="0"/>
        <v>127497088</v>
      </c>
      <c r="H13" s="160">
        <f t="shared" si="0"/>
        <v>191637132</v>
      </c>
      <c r="I13" s="160">
        <f t="shared" si="0"/>
        <v>2894948</v>
      </c>
      <c r="J13" s="160">
        <f t="shared" si="0"/>
        <v>145316870</v>
      </c>
      <c r="K13" s="160">
        <f t="shared" si="0"/>
        <v>41521051</v>
      </c>
      <c r="L13" s="160">
        <f t="shared" si="0"/>
        <v>476104517</v>
      </c>
      <c r="M13" s="160">
        <f t="shared" si="0"/>
        <v>448922286</v>
      </c>
      <c r="N13" s="160">
        <f t="shared" si="0"/>
        <v>356977775</v>
      </c>
      <c r="O13" s="161">
        <f t="shared" si="0"/>
        <v>27182231</v>
      </c>
      <c r="P13" s="162"/>
    </row>
    <row r="14" spans="1:16" s="157" customFormat="1" ht="4.5" customHeight="1" thickBot="1">
      <c r="A14" s="164"/>
      <c r="B14" s="165"/>
      <c r="C14" s="166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8"/>
      <c r="P14" s="169"/>
    </row>
    <row r="15" spans="1:16" s="176" customFormat="1" ht="18" customHeight="1" thickBot="1">
      <c r="A15" s="170" t="s">
        <v>77</v>
      </c>
      <c r="B15" s="171" t="s">
        <v>107</v>
      </c>
      <c r="C15" s="172">
        <f aca="true" t="shared" si="1" ref="C15:O15">C16+C17+C18+C19+C20</f>
        <v>13478945</v>
      </c>
      <c r="D15" s="173">
        <f t="shared" si="1"/>
        <v>7454400</v>
      </c>
      <c r="E15" s="173">
        <f t="shared" si="1"/>
        <v>766400</v>
      </c>
      <c r="F15" s="173">
        <f t="shared" si="1"/>
        <v>475800</v>
      </c>
      <c r="G15" s="173">
        <f t="shared" si="1"/>
        <v>290600</v>
      </c>
      <c r="H15" s="173">
        <f t="shared" si="1"/>
        <v>1188000</v>
      </c>
      <c r="I15" s="173">
        <f t="shared" si="1"/>
        <v>0</v>
      </c>
      <c r="J15" s="173">
        <f t="shared" si="1"/>
        <v>5500000</v>
      </c>
      <c r="K15" s="173">
        <f t="shared" si="1"/>
        <v>0</v>
      </c>
      <c r="L15" s="173">
        <f t="shared" si="1"/>
        <v>6024545</v>
      </c>
      <c r="M15" s="173">
        <f t="shared" si="1"/>
        <v>6024545</v>
      </c>
      <c r="N15" s="173">
        <f t="shared" si="1"/>
        <v>0</v>
      </c>
      <c r="O15" s="174">
        <f t="shared" si="1"/>
        <v>0</v>
      </c>
      <c r="P15" s="175"/>
    </row>
    <row r="16" spans="1:16" s="184" customFormat="1" ht="18.75" customHeight="1">
      <c r="A16" s="177" t="s">
        <v>239</v>
      </c>
      <c r="B16" s="178" t="s">
        <v>240</v>
      </c>
      <c r="C16" s="179">
        <f>D16+L16</f>
        <v>1100000</v>
      </c>
      <c r="D16" s="180">
        <f>E16+H16+I16+J16+K16</f>
        <v>1100000</v>
      </c>
      <c r="E16" s="180">
        <f>F16+G16</f>
        <v>0</v>
      </c>
      <c r="F16" s="180">
        <v>0</v>
      </c>
      <c r="G16" s="181">
        <v>0</v>
      </c>
      <c r="H16" s="181">
        <v>1100000</v>
      </c>
      <c r="I16" s="181">
        <v>0</v>
      </c>
      <c r="J16" s="181">
        <v>0</v>
      </c>
      <c r="K16" s="181">
        <v>0</v>
      </c>
      <c r="L16" s="181">
        <f>M16+O16</f>
        <v>0</v>
      </c>
      <c r="M16" s="181">
        <v>0</v>
      </c>
      <c r="N16" s="180">
        <v>0</v>
      </c>
      <c r="O16" s="182">
        <v>0</v>
      </c>
      <c r="P16" s="183"/>
    </row>
    <row r="17" spans="1:16" s="184" customFormat="1" ht="18.75" customHeight="1">
      <c r="A17" s="177" t="s">
        <v>241</v>
      </c>
      <c r="B17" s="178" t="s">
        <v>242</v>
      </c>
      <c r="C17" s="179">
        <f>D17+L17</f>
        <v>22045</v>
      </c>
      <c r="D17" s="180">
        <f>E17+H17+I17+J17+K17</f>
        <v>0</v>
      </c>
      <c r="E17" s="180">
        <f>F17+G17</f>
        <v>0</v>
      </c>
      <c r="F17" s="180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f>M17+O17</f>
        <v>22045</v>
      </c>
      <c r="M17" s="181">
        <v>22045</v>
      </c>
      <c r="N17" s="180">
        <v>0</v>
      </c>
      <c r="O17" s="182">
        <v>0</v>
      </c>
      <c r="P17" s="183"/>
    </row>
    <row r="18" spans="1:16" s="184" customFormat="1" ht="18.75" customHeight="1">
      <c r="A18" s="177" t="s">
        <v>129</v>
      </c>
      <c r="B18" s="178" t="s">
        <v>243</v>
      </c>
      <c r="C18" s="179">
        <f>D18+L18</f>
        <v>5510500</v>
      </c>
      <c r="D18" s="180">
        <f>E18+H18+I18+J18+K18</f>
        <v>5508000</v>
      </c>
      <c r="E18" s="180">
        <f>F18+G18</f>
        <v>0</v>
      </c>
      <c r="F18" s="180">
        <v>0</v>
      </c>
      <c r="G18" s="181">
        <v>0</v>
      </c>
      <c r="H18" s="181">
        <v>8000</v>
      </c>
      <c r="I18" s="181">
        <v>0</v>
      </c>
      <c r="J18" s="181">
        <v>5500000</v>
      </c>
      <c r="K18" s="181">
        <v>0</v>
      </c>
      <c r="L18" s="181">
        <f>M18+O18</f>
        <v>2500</v>
      </c>
      <c r="M18" s="181">
        <v>2500</v>
      </c>
      <c r="N18" s="180">
        <v>0</v>
      </c>
      <c r="O18" s="182">
        <v>0</v>
      </c>
      <c r="P18" s="183"/>
    </row>
    <row r="19" spans="1:16" s="184" customFormat="1" ht="18.75" customHeight="1">
      <c r="A19" s="177" t="s">
        <v>140</v>
      </c>
      <c r="B19" s="178" t="s">
        <v>141</v>
      </c>
      <c r="C19" s="179">
        <f>D19+L19</f>
        <v>6500000</v>
      </c>
      <c r="D19" s="180">
        <f>E19+H19+I19+J19+K19</f>
        <v>500000</v>
      </c>
      <c r="E19" s="180">
        <f>F19+G19</f>
        <v>500000</v>
      </c>
      <c r="F19" s="180">
        <v>470000</v>
      </c>
      <c r="G19" s="181">
        <f>10000+15000+5000</f>
        <v>30000</v>
      </c>
      <c r="H19" s="181">
        <v>0</v>
      </c>
      <c r="I19" s="181">
        <v>0</v>
      </c>
      <c r="J19" s="181">
        <v>0</v>
      </c>
      <c r="K19" s="181">
        <v>0</v>
      </c>
      <c r="L19" s="181">
        <f>M19+O19</f>
        <v>6000000</v>
      </c>
      <c r="M19" s="181">
        <v>6000000</v>
      </c>
      <c r="N19" s="180">
        <v>0</v>
      </c>
      <c r="O19" s="182">
        <v>0</v>
      </c>
      <c r="P19" s="183"/>
    </row>
    <row r="20" spans="1:16" s="184" customFormat="1" ht="18.75" customHeight="1" thickBot="1">
      <c r="A20" s="177" t="s">
        <v>142</v>
      </c>
      <c r="B20" s="178" t="s">
        <v>130</v>
      </c>
      <c r="C20" s="179">
        <f>D20+L20</f>
        <v>346400</v>
      </c>
      <c r="D20" s="180">
        <f>E20+H20+I20+J20+K20</f>
        <v>346400</v>
      </c>
      <c r="E20" s="180">
        <f>F20+G20</f>
        <v>266400</v>
      </c>
      <c r="F20" s="180">
        <v>5800</v>
      </c>
      <c r="G20" s="181">
        <f>22000+1000+2000+224600+2000+9000</f>
        <v>260600</v>
      </c>
      <c r="H20" s="181">
        <v>80000</v>
      </c>
      <c r="I20" s="181">
        <v>0</v>
      </c>
      <c r="J20" s="181">
        <v>0</v>
      </c>
      <c r="K20" s="181">
        <v>0</v>
      </c>
      <c r="L20" s="181">
        <f>M20+O20</f>
        <v>0</v>
      </c>
      <c r="M20" s="181">
        <v>0</v>
      </c>
      <c r="N20" s="180">
        <v>0</v>
      </c>
      <c r="O20" s="182">
        <v>0</v>
      </c>
      <c r="P20" s="183"/>
    </row>
    <row r="21" spans="1:16" s="189" customFormat="1" ht="18" customHeight="1" thickBot="1">
      <c r="A21" s="170" t="s">
        <v>78</v>
      </c>
      <c r="B21" s="171" t="s">
        <v>79</v>
      </c>
      <c r="C21" s="185">
        <f aca="true" t="shared" si="2" ref="C21:O21">C23+C22</f>
        <v>704000</v>
      </c>
      <c r="D21" s="186">
        <f t="shared" si="2"/>
        <v>704000</v>
      </c>
      <c r="E21" s="186">
        <f t="shared" si="2"/>
        <v>56000</v>
      </c>
      <c r="F21" s="186">
        <f t="shared" si="2"/>
        <v>56000</v>
      </c>
      <c r="G21" s="186">
        <f t="shared" si="2"/>
        <v>0</v>
      </c>
      <c r="H21" s="186">
        <f t="shared" si="2"/>
        <v>8000</v>
      </c>
      <c r="I21" s="186">
        <f t="shared" si="2"/>
        <v>0</v>
      </c>
      <c r="J21" s="186">
        <f t="shared" si="2"/>
        <v>640000</v>
      </c>
      <c r="K21" s="186">
        <f t="shared" si="2"/>
        <v>0</v>
      </c>
      <c r="L21" s="186">
        <f t="shared" si="2"/>
        <v>0</v>
      </c>
      <c r="M21" s="186">
        <f t="shared" si="2"/>
        <v>0</v>
      </c>
      <c r="N21" s="186">
        <f t="shared" si="2"/>
        <v>0</v>
      </c>
      <c r="O21" s="187">
        <f t="shared" si="2"/>
        <v>0</v>
      </c>
      <c r="P21" s="188"/>
    </row>
    <row r="22" spans="1:16" s="184" customFormat="1" ht="18.75" customHeight="1">
      <c r="A22" s="177" t="s">
        <v>191</v>
      </c>
      <c r="B22" s="190" t="s">
        <v>177</v>
      </c>
      <c r="C22" s="179">
        <f>D22+L22</f>
        <v>56000</v>
      </c>
      <c r="D22" s="180">
        <f>E22+H22+I22+J22+K22</f>
        <v>56000</v>
      </c>
      <c r="E22" s="180">
        <f>F22+G22</f>
        <v>56000</v>
      </c>
      <c r="F22" s="180">
        <v>56000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f>M22+O22</f>
        <v>0</v>
      </c>
      <c r="M22" s="181">
        <v>0</v>
      </c>
      <c r="N22" s="180">
        <v>0</v>
      </c>
      <c r="O22" s="182">
        <v>0</v>
      </c>
      <c r="P22" s="183"/>
    </row>
    <row r="23" spans="1:16" s="157" customFormat="1" ht="57" customHeight="1" thickBot="1">
      <c r="A23" s="191" t="s">
        <v>133</v>
      </c>
      <c r="B23" s="192" t="s">
        <v>167</v>
      </c>
      <c r="C23" s="193">
        <f>D23+L23</f>
        <v>648000</v>
      </c>
      <c r="D23" s="194">
        <f>E23+H23+I23+J23+K23</f>
        <v>648000</v>
      </c>
      <c r="E23" s="194">
        <f>F23+G23</f>
        <v>0</v>
      </c>
      <c r="F23" s="194">
        <v>0</v>
      </c>
      <c r="G23" s="195">
        <v>0</v>
      </c>
      <c r="H23" s="195">
        <v>8000</v>
      </c>
      <c r="I23" s="195">
        <v>0</v>
      </c>
      <c r="J23" s="195">
        <v>640000</v>
      </c>
      <c r="K23" s="195">
        <v>0</v>
      </c>
      <c r="L23" s="195">
        <f>M23+O23</f>
        <v>0</v>
      </c>
      <c r="M23" s="195">
        <v>0</v>
      </c>
      <c r="N23" s="194">
        <v>0</v>
      </c>
      <c r="O23" s="196">
        <v>0</v>
      </c>
      <c r="P23" s="169"/>
    </row>
    <row r="24" spans="1:16" s="200" customFormat="1" ht="18" customHeight="1" thickBot="1">
      <c r="A24" s="170" t="s">
        <v>165</v>
      </c>
      <c r="B24" s="171" t="s">
        <v>166</v>
      </c>
      <c r="C24" s="172">
        <f aca="true" t="shared" si="3" ref="C24:O24">C26+C27+C25</f>
        <v>15815968</v>
      </c>
      <c r="D24" s="197">
        <f t="shared" si="3"/>
        <v>15815968</v>
      </c>
      <c r="E24" s="197">
        <f t="shared" si="3"/>
        <v>1306502</v>
      </c>
      <c r="F24" s="197">
        <f t="shared" si="3"/>
        <v>225018</v>
      </c>
      <c r="G24" s="197">
        <f t="shared" si="3"/>
        <v>1081484</v>
      </c>
      <c r="H24" s="197">
        <f t="shared" si="3"/>
        <v>2403767</v>
      </c>
      <c r="I24" s="197">
        <f t="shared" si="3"/>
        <v>0</v>
      </c>
      <c r="J24" s="197">
        <f t="shared" si="3"/>
        <v>12105699</v>
      </c>
      <c r="K24" s="197">
        <f t="shared" si="3"/>
        <v>0</v>
      </c>
      <c r="L24" s="197">
        <f t="shared" si="3"/>
        <v>0</v>
      </c>
      <c r="M24" s="197">
        <f t="shared" si="3"/>
        <v>0</v>
      </c>
      <c r="N24" s="197">
        <f t="shared" si="3"/>
        <v>0</v>
      </c>
      <c r="O24" s="198">
        <f t="shared" si="3"/>
        <v>0</v>
      </c>
      <c r="P24" s="199"/>
    </row>
    <row r="25" spans="1:16" s="184" customFormat="1" ht="18.75" customHeight="1">
      <c r="A25" s="177" t="s">
        <v>244</v>
      </c>
      <c r="B25" s="190" t="s">
        <v>245</v>
      </c>
      <c r="C25" s="179">
        <f>D25+L25</f>
        <v>3710269</v>
      </c>
      <c r="D25" s="180">
        <f>E25+H25+I25+J25+K25</f>
        <v>3710269</v>
      </c>
      <c r="E25" s="180">
        <f>F25+G25</f>
        <v>1306502</v>
      </c>
      <c r="F25" s="180">
        <v>225018</v>
      </c>
      <c r="G25" s="181">
        <f>9000+1069710+2774</f>
        <v>1081484</v>
      </c>
      <c r="H25" s="181">
        <v>2403767</v>
      </c>
      <c r="I25" s="181">
        <v>0</v>
      </c>
      <c r="J25" s="181">
        <v>0</v>
      </c>
      <c r="K25" s="181">
        <v>0</v>
      </c>
      <c r="L25" s="181">
        <f>M25+O25</f>
        <v>0</v>
      </c>
      <c r="M25" s="181">
        <v>0</v>
      </c>
      <c r="N25" s="180">
        <v>0</v>
      </c>
      <c r="O25" s="182">
        <v>0</v>
      </c>
      <c r="P25" s="183"/>
    </row>
    <row r="26" spans="1:16" s="157" customFormat="1" ht="27.75" customHeight="1">
      <c r="A26" s="191" t="s">
        <v>246</v>
      </c>
      <c r="B26" s="192" t="s">
        <v>247</v>
      </c>
      <c r="C26" s="193">
        <f>D26+L26</f>
        <v>11619039</v>
      </c>
      <c r="D26" s="194">
        <f>E26+H26+I26+J26+K26</f>
        <v>11619039</v>
      </c>
      <c r="E26" s="194">
        <f>F26+G26</f>
        <v>0</v>
      </c>
      <c r="F26" s="194">
        <v>0</v>
      </c>
      <c r="G26" s="195">
        <v>0</v>
      </c>
      <c r="H26" s="195">
        <v>0</v>
      </c>
      <c r="I26" s="195">
        <v>0</v>
      </c>
      <c r="J26" s="195">
        <v>11619039</v>
      </c>
      <c r="K26" s="195">
        <v>0</v>
      </c>
      <c r="L26" s="195">
        <f>M26+O26</f>
        <v>0</v>
      </c>
      <c r="M26" s="195">
        <v>0</v>
      </c>
      <c r="N26" s="194">
        <v>0</v>
      </c>
      <c r="O26" s="196">
        <v>0</v>
      </c>
      <c r="P26" s="169"/>
    </row>
    <row r="27" spans="1:16" s="184" customFormat="1" ht="18.75" customHeight="1" thickBot="1">
      <c r="A27" s="177" t="s">
        <v>248</v>
      </c>
      <c r="B27" s="201" t="s">
        <v>130</v>
      </c>
      <c r="C27" s="179">
        <f>D27+L27</f>
        <v>486660</v>
      </c>
      <c r="D27" s="180">
        <f>E27+H27+I27+J27+K27</f>
        <v>486660</v>
      </c>
      <c r="E27" s="180">
        <f>F27+G27</f>
        <v>0</v>
      </c>
      <c r="F27" s="180">
        <v>0</v>
      </c>
      <c r="G27" s="181">
        <v>0</v>
      </c>
      <c r="H27" s="181">
        <v>0</v>
      </c>
      <c r="I27" s="181">
        <v>0</v>
      </c>
      <c r="J27" s="181">
        <v>486660</v>
      </c>
      <c r="K27" s="181">
        <v>0</v>
      </c>
      <c r="L27" s="181">
        <f>M27+O27</f>
        <v>0</v>
      </c>
      <c r="M27" s="181">
        <v>0</v>
      </c>
      <c r="N27" s="180">
        <v>0</v>
      </c>
      <c r="O27" s="182">
        <v>0</v>
      </c>
      <c r="P27" s="183"/>
    </row>
    <row r="28" spans="1:16" s="203" customFormat="1" ht="18" customHeight="1" thickBot="1">
      <c r="A28" s="170" t="s">
        <v>249</v>
      </c>
      <c r="B28" s="171" t="s">
        <v>250</v>
      </c>
      <c r="C28" s="172">
        <f aca="true" t="shared" si="4" ref="C28:O28">C29</f>
        <v>313550</v>
      </c>
      <c r="D28" s="197">
        <f t="shared" si="4"/>
        <v>313550</v>
      </c>
      <c r="E28" s="197">
        <f t="shared" si="4"/>
        <v>313550</v>
      </c>
      <c r="F28" s="197">
        <f t="shared" si="4"/>
        <v>293550</v>
      </c>
      <c r="G28" s="197">
        <f t="shared" si="4"/>
        <v>20000</v>
      </c>
      <c r="H28" s="197">
        <f t="shared" si="4"/>
        <v>0</v>
      </c>
      <c r="I28" s="197">
        <f t="shared" si="4"/>
        <v>0</v>
      </c>
      <c r="J28" s="197">
        <f t="shared" si="4"/>
        <v>0</v>
      </c>
      <c r="K28" s="197">
        <f t="shared" si="4"/>
        <v>0</v>
      </c>
      <c r="L28" s="197">
        <f t="shared" si="4"/>
        <v>0</v>
      </c>
      <c r="M28" s="197">
        <f t="shared" si="4"/>
        <v>0</v>
      </c>
      <c r="N28" s="197">
        <f>N29</f>
        <v>0</v>
      </c>
      <c r="O28" s="198">
        <f t="shared" si="4"/>
        <v>0</v>
      </c>
      <c r="P28" s="202"/>
    </row>
    <row r="29" spans="1:16" s="205" customFormat="1" ht="18.75" customHeight="1" thickBot="1">
      <c r="A29" s="177" t="s">
        <v>251</v>
      </c>
      <c r="B29" s="178" t="s">
        <v>252</v>
      </c>
      <c r="C29" s="179">
        <f>D29+L29</f>
        <v>313550</v>
      </c>
      <c r="D29" s="180">
        <f>E29+H29+I29+J29+K29</f>
        <v>313550</v>
      </c>
      <c r="E29" s="180">
        <f>F29+G29</f>
        <v>313550</v>
      </c>
      <c r="F29" s="180">
        <v>293550</v>
      </c>
      <c r="G29" s="181">
        <v>20000</v>
      </c>
      <c r="H29" s="181">
        <v>0</v>
      </c>
      <c r="I29" s="181">
        <v>0</v>
      </c>
      <c r="J29" s="181">
        <v>0</v>
      </c>
      <c r="K29" s="181"/>
      <c r="L29" s="181">
        <f>M29+O29</f>
        <v>0</v>
      </c>
      <c r="M29" s="181">
        <v>0</v>
      </c>
      <c r="N29" s="180">
        <v>0</v>
      </c>
      <c r="O29" s="182">
        <v>0</v>
      </c>
      <c r="P29" s="204"/>
    </row>
    <row r="30" spans="1:16" s="200" customFormat="1" ht="18" customHeight="1" thickBot="1">
      <c r="A30" s="170" t="s">
        <v>80</v>
      </c>
      <c r="B30" s="171" t="s">
        <v>81</v>
      </c>
      <c r="C30" s="172">
        <f aca="true" t="shared" si="5" ref="C30:O30">C31+C32+C33+C34+C37+C36+C35</f>
        <v>473381010</v>
      </c>
      <c r="D30" s="197">
        <f t="shared" si="5"/>
        <v>185727021</v>
      </c>
      <c r="E30" s="197">
        <f t="shared" si="5"/>
        <v>86713895</v>
      </c>
      <c r="F30" s="197">
        <f t="shared" si="5"/>
        <v>13359864</v>
      </c>
      <c r="G30" s="197">
        <f t="shared" si="5"/>
        <v>73354031</v>
      </c>
      <c r="H30" s="197">
        <f t="shared" si="5"/>
        <v>98310000</v>
      </c>
      <c r="I30" s="197">
        <f t="shared" si="5"/>
        <v>75031</v>
      </c>
      <c r="J30" s="197">
        <f t="shared" si="5"/>
        <v>628095</v>
      </c>
      <c r="K30" s="197">
        <f t="shared" si="5"/>
        <v>0</v>
      </c>
      <c r="L30" s="197">
        <f t="shared" si="5"/>
        <v>287653989</v>
      </c>
      <c r="M30" s="197">
        <f t="shared" si="5"/>
        <v>287153989</v>
      </c>
      <c r="N30" s="197">
        <f t="shared" si="5"/>
        <v>234761039</v>
      </c>
      <c r="O30" s="198">
        <f t="shared" si="5"/>
        <v>500000</v>
      </c>
      <c r="P30" s="199"/>
    </row>
    <row r="31" spans="1:16" s="184" customFormat="1" ht="18.75" customHeight="1">
      <c r="A31" s="177" t="s">
        <v>253</v>
      </c>
      <c r="B31" s="178" t="s">
        <v>134</v>
      </c>
      <c r="C31" s="179">
        <f aca="true" t="shared" si="6" ref="C31:C37">D31+L31</f>
        <v>108222366</v>
      </c>
      <c r="D31" s="180">
        <f aca="true" t="shared" si="7" ref="D31:D37">E31+H31+I31+J31+K31</f>
        <v>108222366</v>
      </c>
      <c r="E31" s="180">
        <f aca="true" t="shared" si="8" ref="E31:E37">F31+G31</f>
        <v>9962366</v>
      </c>
      <c r="F31" s="180">
        <v>0</v>
      </c>
      <c r="G31" s="181">
        <v>9962366</v>
      </c>
      <c r="H31" s="181">
        <v>98260000</v>
      </c>
      <c r="I31" s="181">
        <v>0</v>
      </c>
      <c r="J31" s="181">
        <v>0</v>
      </c>
      <c r="K31" s="181">
        <v>0</v>
      </c>
      <c r="L31" s="181">
        <f aca="true" t="shared" si="9" ref="L31:L37">M31+O31</f>
        <v>0</v>
      </c>
      <c r="M31" s="181">
        <v>0</v>
      </c>
      <c r="N31" s="180">
        <v>0</v>
      </c>
      <c r="O31" s="182">
        <v>0</v>
      </c>
      <c r="P31" s="183"/>
    </row>
    <row r="32" spans="1:16" s="184" customFormat="1" ht="18.75" customHeight="1">
      <c r="A32" s="177" t="s">
        <v>254</v>
      </c>
      <c r="B32" s="178" t="s">
        <v>178</v>
      </c>
      <c r="C32" s="179">
        <f t="shared" si="6"/>
        <v>265129</v>
      </c>
      <c r="D32" s="180">
        <f t="shared" si="7"/>
        <v>15129</v>
      </c>
      <c r="E32" s="180">
        <f t="shared" si="8"/>
        <v>15129</v>
      </c>
      <c r="F32" s="180">
        <v>0</v>
      </c>
      <c r="G32" s="181">
        <v>15129</v>
      </c>
      <c r="H32" s="181">
        <v>0</v>
      </c>
      <c r="I32" s="181">
        <v>0</v>
      </c>
      <c r="J32" s="181">
        <v>0</v>
      </c>
      <c r="K32" s="181">
        <v>0</v>
      </c>
      <c r="L32" s="181">
        <f t="shared" si="9"/>
        <v>250000</v>
      </c>
      <c r="M32" s="181">
        <v>250000</v>
      </c>
      <c r="N32" s="180">
        <v>0</v>
      </c>
      <c r="O32" s="182">
        <v>0</v>
      </c>
      <c r="P32" s="183"/>
    </row>
    <row r="33" spans="1:16" s="184" customFormat="1" ht="18.75" customHeight="1">
      <c r="A33" s="177" t="s">
        <v>255</v>
      </c>
      <c r="B33" s="178" t="s">
        <v>135</v>
      </c>
      <c r="C33" s="179">
        <f t="shared" si="6"/>
        <v>37000000</v>
      </c>
      <c r="D33" s="180">
        <f t="shared" si="7"/>
        <v>37000000</v>
      </c>
      <c r="E33" s="180">
        <f t="shared" si="8"/>
        <v>37000000</v>
      </c>
      <c r="F33" s="180">
        <v>0</v>
      </c>
      <c r="G33" s="181">
        <v>37000000</v>
      </c>
      <c r="H33" s="181">
        <v>0</v>
      </c>
      <c r="I33" s="181">
        <v>0</v>
      </c>
      <c r="J33" s="181">
        <v>0</v>
      </c>
      <c r="K33" s="181">
        <v>0</v>
      </c>
      <c r="L33" s="181">
        <f t="shared" si="9"/>
        <v>0</v>
      </c>
      <c r="M33" s="181">
        <v>0</v>
      </c>
      <c r="N33" s="180">
        <v>0</v>
      </c>
      <c r="O33" s="182">
        <v>0</v>
      </c>
      <c r="P33" s="183"/>
    </row>
    <row r="34" spans="1:16" s="184" customFormat="1" ht="18.75" customHeight="1">
      <c r="A34" s="177" t="s">
        <v>256</v>
      </c>
      <c r="B34" s="178" t="s">
        <v>136</v>
      </c>
      <c r="C34" s="179">
        <f t="shared" si="6"/>
        <v>321768968</v>
      </c>
      <c r="D34" s="180">
        <f t="shared" si="7"/>
        <v>39814979</v>
      </c>
      <c r="E34" s="180">
        <f t="shared" si="8"/>
        <v>39398400</v>
      </c>
      <c r="F34" s="180">
        <v>13207139</v>
      </c>
      <c r="G34" s="181">
        <f>155000+3690000+6000+355000+7814000+16450+12087000+134400+150000+7000+7000+881364+211031+75000+726+7000+578290+16000</f>
        <v>26191261</v>
      </c>
      <c r="H34" s="181">
        <v>0</v>
      </c>
      <c r="I34" s="181">
        <v>75031</v>
      </c>
      <c r="J34" s="181">
        <f>22664+4000+163795+28904+59281+10461+39108+6902+5469+964</f>
        <v>341548</v>
      </c>
      <c r="K34" s="181">
        <v>0</v>
      </c>
      <c r="L34" s="181">
        <f t="shared" si="9"/>
        <v>281953989</v>
      </c>
      <c r="M34" s="181">
        <v>281953989</v>
      </c>
      <c r="N34" s="180">
        <f>196244887+37460594+466500+589058</f>
        <v>234761039</v>
      </c>
      <c r="O34" s="182">
        <v>0</v>
      </c>
      <c r="P34" s="183"/>
    </row>
    <row r="35" spans="1:16" s="184" customFormat="1" ht="18.75" customHeight="1">
      <c r="A35" s="177" t="s">
        <v>257</v>
      </c>
      <c r="B35" s="178" t="s">
        <v>258</v>
      </c>
      <c r="C35" s="179">
        <f t="shared" si="6"/>
        <v>4800000</v>
      </c>
      <c r="D35" s="180">
        <f t="shared" si="7"/>
        <v>0</v>
      </c>
      <c r="E35" s="180">
        <f t="shared" si="8"/>
        <v>0</v>
      </c>
      <c r="F35" s="180">
        <v>0</v>
      </c>
      <c r="G35" s="181">
        <v>0</v>
      </c>
      <c r="H35" s="181">
        <v>0</v>
      </c>
      <c r="I35" s="181">
        <v>0</v>
      </c>
      <c r="J35" s="181">
        <v>0</v>
      </c>
      <c r="K35" s="181">
        <v>0</v>
      </c>
      <c r="L35" s="181">
        <f t="shared" si="9"/>
        <v>4800000</v>
      </c>
      <c r="M35" s="181">
        <v>4800000</v>
      </c>
      <c r="N35" s="180">
        <v>0</v>
      </c>
      <c r="O35" s="182">
        <v>0</v>
      </c>
      <c r="P35" s="183"/>
    </row>
    <row r="36" spans="1:16" s="184" customFormat="1" ht="18.75" customHeight="1">
      <c r="A36" s="177" t="s">
        <v>259</v>
      </c>
      <c r="B36" s="178" t="s">
        <v>260</v>
      </c>
      <c r="C36" s="179">
        <f t="shared" si="6"/>
        <v>150000</v>
      </c>
      <c r="D36" s="181">
        <f t="shared" si="7"/>
        <v>0</v>
      </c>
      <c r="E36" s="181">
        <f t="shared" si="8"/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f t="shared" si="9"/>
        <v>150000</v>
      </c>
      <c r="M36" s="181">
        <v>150000</v>
      </c>
      <c r="N36" s="181">
        <v>0</v>
      </c>
      <c r="O36" s="206">
        <v>0</v>
      </c>
      <c r="P36" s="183"/>
    </row>
    <row r="37" spans="1:16" s="184" customFormat="1" ht="18.75" customHeight="1" thickBot="1">
      <c r="A37" s="177" t="s">
        <v>261</v>
      </c>
      <c r="B37" s="178" t="s">
        <v>130</v>
      </c>
      <c r="C37" s="179">
        <f t="shared" si="6"/>
        <v>1174547</v>
      </c>
      <c r="D37" s="180">
        <f t="shared" si="7"/>
        <v>674547</v>
      </c>
      <c r="E37" s="180">
        <f t="shared" si="8"/>
        <v>338000</v>
      </c>
      <c r="F37" s="180">
        <v>152725</v>
      </c>
      <c r="G37" s="181">
        <f>2000+161275+2000+20000</f>
        <v>185275</v>
      </c>
      <c r="H37" s="181">
        <v>50000</v>
      </c>
      <c r="I37" s="181">
        <v>0</v>
      </c>
      <c r="J37" s="181">
        <f>27710+4890+12498+2205+6912+1220+985+174+190234+33568+850+150+4250+750+128+23</f>
        <v>286547</v>
      </c>
      <c r="K37" s="181">
        <v>0</v>
      </c>
      <c r="L37" s="181">
        <f t="shared" si="9"/>
        <v>500000</v>
      </c>
      <c r="M37" s="181">
        <v>0</v>
      </c>
      <c r="N37" s="180">
        <v>0</v>
      </c>
      <c r="O37" s="182">
        <v>500000</v>
      </c>
      <c r="P37" s="183"/>
    </row>
    <row r="38" spans="1:16" s="200" customFormat="1" ht="18" customHeight="1" thickBot="1">
      <c r="A38" s="170" t="s">
        <v>172</v>
      </c>
      <c r="B38" s="171" t="s">
        <v>173</v>
      </c>
      <c r="C38" s="172">
        <f aca="true" t="shared" si="10" ref="C38:O38">C39+C40</f>
        <v>1834637</v>
      </c>
      <c r="D38" s="173">
        <f t="shared" si="10"/>
        <v>1834637</v>
      </c>
      <c r="E38" s="173">
        <f t="shared" si="10"/>
        <v>646250</v>
      </c>
      <c r="F38" s="173">
        <f t="shared" si="10"/>
        <v>171000</v>
      </c>
      <c r="G38" s="173">
        <f t="shared" si="10"/>
        <v>475250</v>
      </c>
      <c r="H38" s="173">
        <f t="shared" si="10"/>
        <v>150000</v>
      </c>
      <c r="I38" s="173">
        <f t="shared" si="10"/>
        <v>0</v>
      </c>
      <c r="J38" s="173">
        <f t="shared" si="10"/>
        <v>1038387</v>
      </c>
      <c r="K38" s="173">
        <f t="shared" si="10"/>
        <v>0</v>
      </c>
      <c r="L38" s="173">
        <f t="shared" si="10"/>
        <v>0</v>
      </c>
      <c r="M38" s="173">
        <f t="shared" si="10"/>
        <v>0</v>
      </c>
      <c r="N38" s="173">
        <f t="shared" si="10"/>
        <v>0</v>
      </c>
      <c r="O38" s="174">
        <f t="shared" si="10"/>
        <v>0</v>
      </c>
      <c r="P38" s="199"/>
    </row>
    <row r="39" spans="1:16" s="184" customFormat="1" ht="18.75" customHeight="1">
      <c r="A39" s="177" t="s">
        <v>262</v>
      </c>
      <c r="B39" s="178" t="s">
        <v>208</v>
      </c>
      <c r="C39" s="179">
        <f>D39+L39</f>
        <v>649819</v>
      </c>
      <c r="D39" s="181">
        <f>E39+H39+I39+J39+K39</f>
        <v>649819</v>
      </c>
      <c r="E39" s="181">
        <f>F39+G39</f>
        <v>478250</v>
      </c>
      <c r="F39" s="181">
        <v>3000</v>
      </c>
      <c r="G39" s="181">
        <f>2000+51250+400000+22000</f>
        <v>475250</v>
      </c>
      <c r="H39" s="181">
        <v>150000</v>
      </c>
      <c r="I39" s="181">
        <v>0</v>
      </c>
      <c r="J39" s="181">
        <f>4279+1426+735+245+104+35+4184+1394+3125+1042+3675+1225+75+25</f>
        <v>21569</v>
      </c>
      <c r="K39" s="181">
        <v>0</v>
      </c>
      <c r="L39" s="181">
        <f>M39+O39</f>
        <v>0</v>
      </c>
      <c r="M39" s="181">
        <v>0</v>
      </c>
      <c r="N39" s="181">
        <v>0</v>
      </c>
      <c r="O39" s="206">
        <v>0</v>
      </c>
      <c r="P39" s="183"/>
    </row>
    <row r="40" spans="1:16" s="184" customFormat="1" ht="18.75" customHeight="1" thickBot="1">
      <c r="A40" s="177" t="s">
        <v>263</v>
      </c>
      <c r="B40" s="178" t="s">
        <v>130</v>
      </c>
      <c r="C40" s="179">
        <f>D40+L40</f>
        <v>1184818</v>
      </c>
      <c r="D40" s="181">
        <f>E40+H40+I40+J40+K40</f>
        <v>1184818</v>
      </c>
      <c r="E40" s="181">
        <f>F40+G40</f>
        <v>168000</v>
      </c>
      <c r="F40" s="181">
        <v>168000</v>
      </c>
      <c r="G40" s="181">
        <v>0</v>
      </c>
      <c r="H40" s="181">
        <v>0</v>
      </c>
      <c r="I40" s="181">
        <v>0</v>
      </c>
      <c r="J40" s="181">
        <f>122400+320219+56509+9596+1694+56695+10005+8079+1426+17000+3000+256152+45202+12750+2250+2295+405+76449+13492+1020+180</f>
        <v>1016818</v>
      </c>
      <c r="K40" s="181">
        <v>0</v>
      </c>
      <c r="L40" s="181">
        <f>M40+O40</f>
        <v>0</v>
      </c>
      <c r="M40" s="181">
        <v>0</v>
      </c>
      <c r="N40" s="181">
        <v>0</v>
      </c>
      <c r="O40" s="206">
        <v>0</v>
      </c>
      <c r="P40" s="183"/>
    </row>
    <row r="41" spans="1:16" s="200" customFormat="1" ht="18" customHeight="1" thickBot="1">
      <c r="A41" s="170" t="s">
        <v>82</v>
      </c>
      <c r="B41" s="171" t="s">
        <v>83</v>
      </c>
      <c r="C41" s="172">
        <f aca="true" t="shared" si="11" ref="C41:O41">C42</f>
        <v>1639900</v>
      </c>
      <c r="D41" s="173">
        <f t="shared" si="11"/>
        <v>522500</v>
      </c>
      <c r="E41" s="173">
        <f t="shared" si="11"/>
        <v>522500</v>
      </c>
      <c r="F41" s="173">
        <f t="shared" si="11"/>
        <v>0</v>
      </c>
      <c r="G41" s="173">
        <f t="shared" si="11"/>
        <v>522500</v>
      </c>
      <c r="H41" s="173">
        <f t="shared" si="11"/>
        <v>0</v>
      </c>
      <c r="I41" s="173">
        <f t="shared" si="11"/>
        <v>0</v>
      </c>
      <c r="J41" s="173">
        <f t="shared" si="11"/>
        <v>0</v>
      </c>
      <c r="K41" s="173">
        <f t="shared" si="11"/>
        <v>0</v>
      </c>
      <c r="L41" s="173">
        <f t="shared" si="11"/>
        <v>1117400</v>
      </c>
      <c r="M41" s="173">
        <f t="shared" si="11"/>
        <v>1117400</v>
      </c>
      <c r="N41" s="173">
        <f>N42</f>
        <v>0</v>
      </c>
      <c r="O41" s="174">
        <f t="shared" si="11"/>
        <v>0</v>
      </c>
      <c r="P41" s="199"/>
    </row>
    <row r="42" spans="1:16" s="184" customFormat="1" ht="18.75" customHeight="1" thickBot="1">
      <c r="A42" s="177" t="s">
        <v>264</v>
      </c>
      <c r="B42" s="178" t="s">
        <v>137</v>
      </c>
      <c r="C42" s="179">
        <f>D42+L42</f>
        <v>1639900</v>
      </c>
      <c r="D42" s="180">
        <f>E42+H42+I42+J42+K42</f>
        <v>522500</v>
      </c>
      <c r="E42" s="180">
        <f>F42+G42</f>
        <v>522500</v>
      </c>
      <c r="F42" s="180">
        <v>0</v>
      </c>
      <c r="G42" s="181">
        <v>522500</v>
      </c>
      <c r="H42" s="181">
        <v>0</v>
      </c>
      <c r="I42" s="181">
        <v>0</v>
      </c>
      <c r="J42" s="181">
        <v>0</v>
      </c>
      <c r="K42" s="181">
        <v>0</v>
      </c>
      <c r="L42" s="181">
        <f>M42+O42</f>
        <v>1117400</v>
      </c>
      <c r="M42" s="181">
        <v>1117400</v>
      </c>
      <c r="N42" s="180">
        <v>0</v>
      </c>
      <c r="O42" s="182">
        <v>0</v>
      </c>
      <c r="P42" s="183"/>
    </row>
    <row r="43" spans="1:16" s="200" customFormat="1" ht="18" customHeight="1" thickBot="1">
      <c r="A43" s="170" t="s">
        <v>84</v>
      </c>
      <c r="B43" s="171" t="s">
        <v>85</v>
      </c>
      <c r="C43" s="172">
        <f aca="true" t="shared" si="12" ref="C43:O43">C44+C45+C46+C47</f>
        <v>4861054</v>
      </c>
      <c r="D43" s="197">
        <f t="shared" si="12"/>
        <v>4847054</v>
      </c>
      <c r="E43" s="197">
        <f t="shared" si="12"/>
        <v>4844754</v>
      </c>
      <c r="F43" s="197">
        <f t="shared" si="12"/>
        <v>4044800</v>
      </c>
      <c r="G43" s="197">
        <f t="shared" si="12"/>
        <v>799954</v>
      </c>
      <c r="H43" s="197">
        <f t="shared" si="12"/>
        <v>0</v>
      </c>
      <c r="I43" s="197">
        <f t="shared" si="12"/>
        <v>2300</v>
      </c>
      <c r="J43" s="197">
        <f t="shared" si="12"/>
        <v>0</v>
      </c>
      <c r="K43" s="197">
        <f t="shared" si="12"/>
        <v>0</v>
      </c>
      <c r="L43" s="197">
        <f t="shared" si="12"/>
        <v>14000</v>
      </c>
      <c r="M43" s="197">
        <f t="shared" si="12"/>
        <v>14000</v>
      </c>
      <c r="N43" s="197">
        <f t="shared" si="12"/>
        <v>0</v>
      </c>
      <c r="O43" s="198">
        <f t="shared" si="12"/>
        <v>0</v>
      </c>
      <c r="P43" s="199"/>
    </row>
    <row r="44" spans="1:16" s="184" customFormat="1" ht="18.75" customHeight="1">
      <c r="A44" s="177" t="s">
        <v>265</v>
      </c>
      <c r="B44" s="178" t="s">
        <v>138</v>
      </c>
      <c r="C44" s="179">
        <f>D44+L44</f>
        <v>4422054</v>
      </c>
      <c r="D44" s="180">
        <f>E44+H44+I44+J44+K44</f>
        <v>4422054</v>
      </c>
      <c r="E44" s="180">
        <f>F44+G44</f>
        <v>4419754</v>
      </c>
      <c r="F44" s="180">
        <v>3825200</v>
      </c>
      <c r="G44" s="181">
        <f>60500+101300+73000+122000+2500+60500+71500+9000+8000+65154+14600+6500</f>
        <v>594554</v>
      </c>
      <c r="H44" s="181">
        <v>0</v>
      </c>
      <c r="I44" s="181">
        <v>2300</v>
      </c>
      <c r="J44" s="181">
        <v>0</v>
      </c>
      <c r="K44" s="181">
        <v>0</v>
      </c>
      <c r="L44" s="181">
        <f>M44+O44</f>
        <v>0</v>
      </c>
      <c r="M44" s="181">
        <v>0</v>
      </c>
      <c r="N44" s="180">
        <v>0</v>
      </c>
      <c r="O44" s="182">
        <v>0</v>
      </c>
      <c r="P44" s="183"/>
    </row>
    <row r="45" spans="1:16" s="184" customFormat="1" ht="18.75" customHeight="1">
      <c r="A45" s="177" t="s">
        <v>266</v>
      </c>
      <c r="B45" s="178" t="s">
        <v>267</v>
      </c>
      <c r="C45" s="179">
        <f>D45+L45</f>
        <v>23000</v>
      </c>
      <c r="D45" s="180">
        <f>E45+H45+I45+J45+K45</f>
        <v>23000</v>
      </c>
      <c r="E45" s="180">
        <f>F45+G45</f>
        <v>23000</v>
      </c>
      <c r="F45" s="180">
        <v>5600</v>
      </c>
      <c r="G45" s="181">
        <f>14900+2500</f>
        <v>17400</v>
      </c>
      <c r="H45" s="181">
        <v>0</v>
      </c>
      <c r="I45" s="181">
        <v>0</v>
      </c>
      <c r="J45" s="181">
        <v>0</v>
      </c>
      <c r="K45" s="181">
        <v>0</v>
      </c>
      <c r="L45" s="181">
        <f>M45+O45</f>
        <v>0</v>
      </c>
      <c r="M45" s="181">
        <v>0</v>
      </c>
      <c r="N45" s="180">
        <v>0</v>
      </c>
      <c r="O45" s="182">
        <v>0</v>
      </c>
      <c r="P45" s="183"/>
    </row>
    <row r="46" spans="1:16" s="184" customFormat="1" ht="18.75" customHeight="1">
      <c r="A46" s="177" t="s">
        <v>268</v>
      </c>
      <c r="B46" s="178" t="s">
        <v>139</v>
      </c>
      <c r="C46" s="179">
        <f>D46+L46</f>
        <v>244000</v>
      </c>
      <c r="D46" s="180">
        <f>E46+H46+I46+J46+K46</f>
        <v>244000</v>
      </c>
      <c r="E46" s="180">
        <f>F46+G46</f>
        <v>244000</v>
      </c>
      <c r="F46" s="180">
        <v>214000</v>
      </c>
      <c r="G46" s="181">
        <f>1000+29000</f>
        <v>30000</v>
      </c>
      <c r="H46" s="181">
        <v>0</v>
      </c>
      <c r="I46" s="181">
        <v>0</v>
      </c>
      <c r="J46" s="181">
        <v>0</v>
      </c>
      <c r="K46" s="181">
        <v>0</v>
      </c>
      <c r="L46" s="181">
        <f>M46+O46</f>
        <v>0</v>
      </c>
      <c r="M46" s="181">
        <v>0</v>
      </c>
      <c r="N46" s="180">
        <v>0</v>
      </c>
      <c r="O46" s="182">
        <v>0</v>
      </c>
      <c r="P46" s="183"/>
    </row>
    <row r="47" spans="1:16" s="184" customFormat="1" ht="18.75" customHeight="1" thickBot="1">
      <c r="A47" s="207" t="s">
        <v>269</v>
      </c>
      <c r="B47" s="208" t="s">
        <v>160</v>
      </c>
      <c r="C47" s="209">
        <f>D47+L47</f>
        <v>172000</v>
      </c>
      <c r="D47" s="210">
        <f>E47+H47+I47+J47+K47</f>
        <v>158000</v>
      </c>
      <c r="E47" s="210">
        <f>F47+G47</f>
        <v>158000</v>
      </c>
      <c r="F47" s="210">
        <v>0</v>
      </c>
      <c r="G47" s="211">
        <f>4000+134000+500+7000+12500</f>
        <v>158000</v>
      </c>
      <c r="H47" s="211">
        <v>0</v>
      </c>
      <c r="I47" s="211">
        <v>0</v>
      </c>
      <c r="J47" s="211">
        <v>0</v>
      </c>
      <c r="K47" s="211">
        <v>0</v>
      </c>
      <c r="L47" s="211">
        <f>M47+O47</f>
        <v>14000</v>
      </c>
      <c r="M47" s="211">
        <v>14000</v>
      </c>
      <c r="N47" s="210">
        <v>0</v>
      </c>
      <c r="O47" s="212">
        <v>0</v>
      </c>
      <c r="P47" s="183"/>
    </row>
    <row r="48" spans="1:16" s="200" customFormat="1" ht="18" customHeight="1" thickBot="1">
      <c r="A48" s="170" t="s">
        <v>86</v>
      </c>
      <c r="B48" s="171" t="s">
        <v>87</v>
      </c>
      <c r="C48" s="172">
        <f aca="true" t="shared" si="13" ref="C48:O48">C49</f>
        <v>75878487</v>
      </c>
      <c r="D48" s="173">
        <f t="shared" si="13"/>
        <v>6594919</v>
      </c>
      <c r="E48" s="173">
        <f t="shared" si="13"/>
        <v>2620543</v>
      </c>
      <c r="F48" s="173">
        <f t="shared" si="13"/>
        <v>0</v>
      </c>
      <c r="G48" s="197">
        <f t="shared" si="13"/>
        <v>2620543</v>
      </c>
      <c r="H48" s="197">
        <f t="shared" si="13"/>
        <v>0</v>
      </c>
      <c r="I48" s="197">
        <f t="shared" si="13"/>
        <v>0</v>
      </c>
      <c r="J48" s="197">
        <f t="shared" si="13"/>
        <v>3974376</v>
      </c>
      <c r="K48" s="197">
        <f t="shared" si="13"/>
        <v>0</v>
      </c>
      <c r="L48" s="197">
        <f t="shared" si="13"/>
        <v>69283568</v>
      </c>
      <c r="M48" s="197">
        <f t="shared" si="13"/>
        <v>67063837</v>
      </c>
      <c r="N48" s="173">
        <f>N49</f>
        <v>67063837</v>
      </c>
      <c r="O48" s="174">
        <f t="shared" si="13"/>
        <v>2219731</v>
      </c>
      <c r="P48" s="199"/>
    </row>
    <row r="49" spans="1:16" s="184" customFormat="1" ht="18.75" customHeight="1" thickBot="1">
      <c r="A49" s="177" t="s">
        <v>270</v>
      </c>
      <c r="B49" s="178" t="s">
        <v>130</v>
      </c>
      <c r="C49" s="179">
        <f>D49+L49</f>
        <v>75878487</v>
      </c>
      <c r="D49" s="180">
        <f>E49+H49+I49+J49+K49</f>
        <v>6594919</v>
      </c>
      <c r="E49" s="180">
        <f>F49+G49</f>
        <v>2620543</v>
      </c>
      <c r="F49" s="180">
        <v>0</v>
      </c>
      <c r="G49" s="181">
        <f>13350+854673+1337970+33890+256900+123760</f>
        <v>2620543</v>
      </c>
      <c r="H49" s="181">
        <v>0</v>
      </c>
      <c r="I49" s="181">
        <v>0</v>
      </c>
      <c r="J49" s="181">
        <f>1268858+223917+135940+23990+293260+51752+41796+7375+481870+85036+126737+22366+15592+2752+50095+8840+697000+123000+11050+1950+85000+15000+171020+30180</f>
        <v>3974376</v>
      </c>
      <c r="K49" s="181">
        <v>0</v>
      </c>
      <c r="L49" s="181">
        <f>M49+O49</f>
        <v>69283568</v>
      </c>
      <c r="M49" s="181">
        <f>69283568-2219731</f>
        <v>67063837</v>
      </c>
      <c r="N49" s="180">
        <v>67063837</v>
      </c>
      <c r="O49" s="182">
        <v>2219731</v>
      </c>
      <c r="P49" s="183"/>
    </row>
    <row r="50" spans="1:16" s="200" customFormat="1" ht="18" customHeight="1" thickBot="1">
      <c r="A50" s="170" t="s">
        <v>88</v>
      </c>
      <c r="B50" s="171" t="s">
        <v>89</v>
      </c>
      <c r="C50" s="172">
        <f aca="true" t="shared" si="14" ref="C50:O50">C51+C52+C53+C54+C56+C55</f>
        <v>109705609</v>
      </c>
      <c r="D50" s="197">
        <f t="shared" si="14"/>
        <v>109094609</v>
      </c>
      <c r="E50" s="197">
        <f t="shared" si="14"/>
        <v>49507992</v>
      </c>
      <c r="F50" s="197">
        <f t="shared" si="14"/>
        <v>32740000</v>
      </c>
      <c r="G50" s="197">
        <f t="shared" si="14"/>
        <v>16767992</v>
      </c>
      <c r="H50" s="197">
        <f t="shared" si="14"/>
        <v>135000</v>
      </c>
      <c r="I50" s="197">
        <f t="shared" si="14"/>
        <v>1337000</v>
      </c>
      <c r="J50" s="197">
        <f t="shared" si="14"/>
        <v>58114617</v>
      </c>
      <c r="K50" s="197">
        <f t="shared" si="14"/>
        <v>0</v>
      </c>
      <c r="L50" s="197">
        <f t="shared" si="14"/>
        <v>611000</v>
      </c>
      <c r="M50" s="197">
        <f t="shared" si="14"/>
        <v>611000</v>
      </c>
      <c r="N50" s="197">
        <f t="shared" si="14"/>
        <v>11000</v>
      </c>
      <c r="O50" s="198">
        <f t="shared" si="14"/>
        <v>0</v>
      </c>
      <c r="P50" s="199"/>
    </row>
    <row r="51" spans="1:16" s="184" customFormat="1" ht="18.75" customHeight="1">
      <c r="A51" s="177" t="s">
        <v>271</v>
      </c>
      <c r="B51" s="178" t="s">
        <v>272</v>
      </c>
      <c r="C51" s="179">
        <f aca="true" t="shared" si="15" ref="C51:C56">D51+L51</f>
        <v>1438180</v>
      </c>
      <c r="D51" s="181">
        <f aca="true" t="shared" si="16" ref="D51:D56">E51+H51+I51+J51+K51</f>
        <v>1438180</v>
      </c>
      <c r="E51" s="181">
        <f aca="true" t="shared" si="17" ref="E51:E56">F51+G51</f>
        <v>338180</v>
      </c>
      <c r="F51" s="181">
        <v>55000</v>
      </c>
      <c r="G51" s="181">
        <f>18000+40000+20000+4000+165000+15180+4000+5000+10000+2000</f>
        <v>283180</v>
      </c>
      <c r="H51" s="181">
        <v>0</v>
      </c>
      <c r="I51" s="181">
        <v>1100000</v>
      </c>
      <c r="J51" s="181">
        <v>0</v>
      </c>
      <c r="K51" s="181">
        <v>0</v>
      </c>
      <c r="L51" s="181">
        <f aca="true" t="shared" si="18" ref="L51:L56">M51+O51</f>
        <v>0</v>
      </c>
      <c r="M51" s="181">
        <v>0</v>
      </c>
      <c r="N51" s="181">
        <v>0</v>
      </c>
      <c r="O51" s="206">
        <v>0</v>
      </c>
      <c r="P51" s="183"/>
    </row>
    <row r="52" spans="1:16" s="184" customFormat="1" ht="18.75" customHeight="1">
      <c r="A52" s="177" t="s">
        <v>273</v>
      </c>
      <c r="B52" s="178" t="s">
        <v>109</v>
      </c>
      <c r="C52" s="179">
        <f t="shared" si="15"/>
        <v>77946432</v>
      </c>
      <c r="D52" s="180">
        <f t="shared" si="16"/>
        <v>77335432</v>
      </c>
      <c r="E52" s="180">
        <f t="shared" si="17"/>
        <v>40324962</v>
      </c>
      <c r="F52" s="180">
        <v>32472000</v>
      </c>
      <c r="G52" s="181">
        <f>370000+1606745+60000+750000+250000+22000+1940255+300000+2000+20000+600000+140000+190000+90000+1385962+4000+1000+26000+30000+65000</f>
        <v>7852962</v>
      </c>
      <c r="H52" s="181">
        <v>0</v>
      </c>
      <c r="I52" s="181">
        <v>35000</v>
      </c>
      <c r="J52" s="181">
        <f>8500+1500+17000+3000+18667250+3294220+1559750+275250+3145000+555000+476000+84000+703273+124107+29750+5250+862580+152220+21250+3750+581400+102600+8500+1500+8500+1500+2885495+509205+168045+29655+11050+1950+990250+174750+676600+119400+36635+6465+148750+26250+30600+5400+223550+39450+169422+29898</f>
        <v>36975470</v>
      </c>
      <c r="K52" s="181">
        <v>0</v>
      </c>
      <c r="L52" s="181">
        <f t="shared" si="18"/>
        <v>611000</v>
      </c>
      <c r="M52" s="181">
        <v>611000</v>
      </c>
      <c r="N52" s="180">
        <f>9350+1650</f>
        <v>11000</v>
      </c>
      <c r="O52" s="182">
        <v>0</v>
      </c>
      <c r="P52" s="183"/>
    </row>
    <row r="53" spans="1:16" s="157" customFormat="1" ht="26.25" customHeight="1">
      <c r="A53" s="191" t="s">
        <v>274</v>
      </c>
      <c r="B53" s="213" t="s">
        <v>275</v>
      </c>
      <c r="C53" s="193">
        <f t="shared" si="15"/>
        <v>450000</v>
      </c>
      <c r="D53" s="194">
        <f t="shared" si="16"/>
        <v>450000</v>
      </c>
      <c r="E53" s="194">
        <f t="shared" si="17"/>
        <v>450000</v>
      </c>
      <c r="F53" s="194">
        <v>3000</v>
      </c>
      <c r="G53" s="195">
        <f>8000+3300+14100+20000+29000+17500+800+133300+5000+213000+2500+500</f>
        <v>447000</v>
      </c>
      <c r="H53" s="195">
        <v>0</v>
      </c>
      <c r="I53" s="195">
        <v>0</v>
      </c>
      <c r="J53" s="195">
        <v>0</v>
      </c>
      <c r="K53" s="195">
        <v>0</v>
      </c>
      <c r="L53" s="195">
        <f t="shared" si="18"/>
        <v>0</v>
      </c>
      <c r="M53" s="195">
        <v>0</v>
      </c>
      <c r="N53" s="194">
        <v>0</v>
      </c>
      <c r="O53" s="196">
        <v>0</v>
      </c>
      <c r="P53" s="169"/>
    </row>
    <row r="54" spans="1:16" s="184" customFormat="1" ht="18.75" customHeight="1">
      <c r="A54" s="177" t="s">
        <v>276</v>
      </c>
      <c r="B54" s="178" t="s">
        <v>168</v>
      </c>
      <c r="C54" s="179">
        <f t="shared" si="15"/>
        <v>26739147</v>
      </c>
      <c r="D54" s="180">
        <f t="shared" si="16"/>
        <v>26739147</v>
      </c>
      <c r="E54" s="180">
        <f t="shared" si="17"/>
        <v>7100000</v>
      </c>
      <c r="F54" s="180">
        <v>125000</v>
      </c>
      <c r="G54" s="181">
        <f>50000+150000+75000+6638000+2000+20000+40000</f>
        <v>6975000</v>
      </c>
      <c r="H54" s="181">
        <v>0</v>
      </c>
      <c r="I54" s="181">
        <v>0</v>
      </c>
      <c r="J54" s="181">
        <f>3248020+84500+747172+131855+23745+4190+132986+23469+18954+3348+3444+608+51365+9065+14450+2447+1921+339+12137841+2725247+1921+339+19380+3420+5100+900+121350+33650+850+150+67678+11943+6375+1125</f>
        <v>19639147</v>
      </c>
      <c r="K54" s="181">
        <v>0</v>
      </c>
      <c r="L54" s="181">
        <f t="shared" si="18"/>
        <v>0</v>
      </c>
      <c r="M54" s="181">
        <v>0</v>
      </c>
      <c r="N54" s="180">
        <v>0</v>
      </c>
      <c r="O54" s="182">
        <v>0</v>
      </c>
      <c r="P54" s="183"/>
    </row>
    <row r="55" spans="1:16" s="157" customFormat="1" ht="27.75" customHeight="1">
      <c r="A55" s="191" t="s">
        <v>277</v>
      </c>
      <c r="B55" s="213" t="s">
        <v>169</v>
      </c>
      <c r="C55" s="193">
        <f t="shared" si="15"/>
        <v>201000</v>
      </c>
      <c r="D55" s="194">
        <f t="shared" si="16"/>
        <v>201000</v>
      </c>
      <c r="E55" s="194">
        <f t="shared" si="17"/>
        <v>151000</v>
      </c>
      <c r="F55" s="194">
        <v>70000</v>
      </c>
      <c r="G55" s="195">
        <f>5000+5000+50500+20000+500</f>
        <v>81000</v>
      </c>
      <c r="H55" s="195">
        <v>0</v>
      </c>
      <c r="I55" s="195">
        <v>50000</v>
      </c>
      <c r="J55" s="195">
        <v>0</v>
      </c>
      <c r="K55" s="195">
        <v>0</v>
      </c>
      <c r="L55" s="195">
        <f t="shared" si="18"/>
        <v>0</v>
      </c>
      <c r="M55" s="195">
        <v>0</v>
      </c>
      <c r="N55" s="194">
        <v>0</v>
      </c>
      <c r="O55" s="196">
        <v>0</v>
      </c>
      <c r="P55" s="169"/>
    </row>
    <row r="56" spans="1:16" s="184" customFormat="1" ht="18.75" customHeight="1" thickBot="1">
      <c r="A56" s="177" t="s">
        <v>278</v>
      </c>
      <c r="B56" s="178" t="s">
        <v>130</v>
      </c>
      <c r="C56" s="179">
        <f t="shared" si="15"/>
        <v>2930850</v>
      </c>
      <c r="D56" s="181">
        <f t="shared" si="16"/>
        <v>2930850</v>
      </c>
      <c r="E56" s="181">
        <f t="shared" si="17"/>
        <v>1143850</v>
      </c>
      <c r="F56" s="181">
        <v>15000</v>
      </c>
      <c r="G56" s="181">
        <f>59000+79500+39500+836850+19000+73000+22000</f>
        <v>1128850</v>
      </c>
      <c r="H56" s="181">
        <v>135000</v>
      </c>
      <c r="I56" s="181">
        <v>152000</v>
      </c>
      <c r="J56" s="181">
        <f>425+75+875075+154425+85000+15000+160225+28275+16150+2850+8500+1500+3400+600+23800+4200+425+75+38250+6750+7650+1350+850+150+42500+7500+6800+1200+5950+1050</f>
        <v>1500000</v>
      </c>
      <c r="K56" s="181">
        <v>0</v>
      </c>
      <c r="L56" s="181">
        <f t="shared" si="18"/>
        <v>0</v>
      </c>
      <c r="M56" s="181">
        <v>0</v>
      </c>
      <c r="N56" s="181">
        <v>0</v>
      </c>
      <c r="O56" s="206">
        <v>0</v>
      </c>
      <c r="P56" s="183"/>
    </row>
    <row r="57" spans="1:16" s="200" customFormat="1" ht="18" customHeight="1" thickBot="1">
      <c r="A57" s="170" t="s">
        <v>90</v>
      </c>
      <c r="B57" s="171" t="s">
        <v>91</v>
      </c>
      <c r="C57" s="172">
        <f aca="true" t="shared" si="19" ref="C57:O57">C58</f>
        <v>5000</v>
      </c>
      <c r="D57" s="197">
        <f t="shared" si="19"/>
        <v>5000</v>
      </c>
      <c r="E57" s="197">
        <f t="shared" si="19"/>
        <v>5000</v>
      </c>
      <c r="F57" s="197">
        <f t="shared" si="19"/>
        <v>0</v>
      </c>
      <c r="G57" s="197">
        <f t="shared" si="19"/>
        <v>5000</v>
      </c>
      <c r="H57" s="197">
        <f t="shared" si="19"/>
        <v>0</v>
      </c>
      <c r="I57" s="197">
        <f t="shared" si="19"/>
        <v>0</v>
      </c>
      <c r="J57" s="197">
        <f t="shared" si="19"/>
        <v>0</v>
      </c>
      <c r="K57" s="197">
        <f t="shared" si="19"/>
        <v>0</v>
      </c>
      <c r="L57" s="197">
        <f t="shared" si="19"/>
        <v>0</v>
      </c>
      <c r="M57" s="197">
        <f t="shared" si="19"/>
        <v>0</v>
      </c>
      <c r="N57" s="197">
        <f>N58</f>
        <v>0</v>
      </c>
      <c r="O57" s="198">
        <f t="shared" si="19"/>
        <v>0</v>
      </c>
      <c r="P57" s="199"/>
    </row>
    <row r="58" spans="1:16" s="184" customFormat="1" ht="18.75" customHeight="1" thickBot="1">
      <c r="A58" s="177" t="s">
        <v>279</v>
      </c>
      <c r="B58" s="178" t="s">
        <v>280</v>
      </c>
      <c r="C58" s="179">
        <f>D58+L58</f>
        <v>5000</v>
      </c>
      <c r="D58" s="180">
        <f>E58+H58+I58+J58+K58</f>
        <v>5000</v>
      </c>
      <c r="E58" s="180">
        <f>F58+G58</f>
        <v>5000</v>
      </c>
      <c r="F58" s="180">
        <v>0</v>
      </c>
      <c r="G58" s="181">
        <v>5000</v>
      </c>
      <c r="H58" s="181">
        <v>0</v>
      </c>
      <c r="I58" s="181">
        <v>0</v>
      </c>
      <c r="J58" s="181">
        <v>0</v>
      </c>
      <c r="K58" s="181">
        <v>0</v>
      </c>
      <c r="L58" s="181">
        <f>M58+O58</f>
        <v>0</v>
      </c>
      <c r="M58" s="181">
        <v>0</v>
      </c>
      <c r="N58" s="180">
        <v>0</v>
      </c>
      <c r="O58" s="182">
        <v>0</v>
      </c>
      <c r="P58" s="183"/>
    </row>
    <row r="59" spans="1:16" s="220" customFormat="1" ht="31.5" customHeight="1" thickBot="1">
      <c r="A59" s="214" t="s">
        <v>281</v>
      </c>
      <c r="B59" s="215" t="s">
        <v>282</v>
      </c>
      <c r="C59" s="216">
        <f aca="true" t="shared" si="20" ref="C59:O59">C60</f>
        <v>160000</v>
      </c>
      <c r="D59" s="217">
        <f t="shared" si="20"/>
        <v>160000</v>
      </c>
      <c r="E59" s="217">
        <f t="shared" si="20"/>
        <v>160000</v>
      </c>
      <c r="F59" s="217">
        <f t="shared" si="20"/>
        <v>0</v>
      </c>
      <c r="G59" s="217">
        <f t="shared" si="20"/>
        <v>160000</v>
      </c>
      <c r="H59" s="217">
        <f t="shared" si="20"/>
        <v>0</v>
      </c>
      <c r="I59" s="217">
        <f t="shared" si="20"/>
        <v>0</v>
      </c>
      <c r="J59" s="217">
        <f t="shared" si="20"/>
        <v>0</v>
      </c>
      <c r="K59" s="217">
        <f t="shared" si="20"/>
        <v>0</v>
      </c>
      <c r="L59" s="217">
        <f t="shared" si="20"/>
        <v>0</v>
      </c>
      <c r="M59" s="217">
        <f t="shared" si="20"/>
        <v>0</v>
      </c>
      <c r="N59" s="217">
        <f>N60</f>
        <v>0</v>
      </c>
      <c r="O59" s="218">
        <f t="shared" si="20"/>
        <v>0</v>
      </c>
      <c r="P59" s="219"/>
    </row>
    <row r="60" spans="1:16" s="184" customFormat="1" ht="18.75" customHeight="1" thickBot="1">
      <c r="A60" s="177" t="s">
        <v>283</v>
      </c>
      <c r="B60" s="178" t="s">
        <v>130</v>
      </c>
      <c r="C60" s="179">
        <f>D60+L60</f>
        <v>160000</v>
      </c>
      <c r="D60" s="181">
        <f>E60+H60+I60+J60+K60</f>
        <v>160000</v>
      </c>
      <c r="E60" s="181">
        <f>F60+G60</f>
        <v>160000</v>
      </c>
      <c r="F60" s="181">
        <v>0</v>
      </c>
      <c r="G60" s="181">
        <v>160000</v>
      </c>
      <c r="H60" s="181">
        <v>0</v>
      </c>
      <c r="I60" s="181">
        <v>0</v>
      </c>
      <c r="J60" s="181">
        <v>0</v>
      </c>
      <c r="K60" s="181">
        <v>0</v>
      </c>
      <c r="L60" s="181">
        <f>M60+O60</f>
        <v>0</v>
      </c>
      <c r="M60" s="181">
        <v>0</v>
      </c>
      <c r="N60" s="181">
        <v>0</v>
      </c>
      <c r="O60" s="206">
        <v>0</v>
      </c>
      <c r="P60" s="183"/>
    </row>
    <row r="61" spans="1:16" s="200" customFormat="1" ht="18" customHeight="1" thickBot="1">
      <c r="A61" s="170" t="s">
        <v>284</v>
      </c>
      <c r="B61" s="171" t="s">
        <v>285</v>
      </c>
      <c r="C61" s="172">
        <f aca="true" t="shared" si="21" ref="C61:O61">C62+C63</f>
        <v>41521051</v>
      </c>
      <c r="D61" s="173">
        <f t="shared" si="21"/>
        <v>41521051</v>
      </c>
      <c r="E61" s="173">
        <f t="shared" si="21"/>
        <v>0</v>
      </c>
      <c r="F61" s="173">
        <f t="shared" si="21"/>
        <v>0</v>
      </c>
      <c r="G61" s="173">
        <f t="shared" si="21"/>
        <v>0</v>
      </c>
      <c r="H61" s="173">
        <f t="shared" si="21"/>
        <v>0</v>
      </c>
      <c r="I61" s="173">
        <f t="shared" si="21"/>
        <v>0</v>
      </c>
      <c r="J61" s="173">
        <f t="shared" si="21"/>
        <v>0</v>
      </c>
      <c r="K61" s="173">
        <f t="shared" si="21"/>
        <v>41521051</v>
      </c>
      <c r="L61" s="173">
        <f t="shared" si="21"/>
        <v>0</v>
      </c>
      <c r="M61" s="173">
        <f t="shared" si="21"/>
        <v>0</v>
      </c>
      <c r="N61" s="173">
        <f t="shared" si="21"/>
        <v>0</v>
      </c>
      <c r="O61" s="174">
        <f t="shared" si="21"/>
        <v>0</v>
      </c>
      <c r="P61" s="199"/>
    </row>
    <row r="62" spans="1:16" s="157" customFormat="1" ht="27.75" customHeight="1">
      <c r="A62" s="191" t="s">
        <v>286</v>
      </c>
      <c r="B62" s="213" t="s">
        <v>287</v>
      </c>
      <c r="C62" s="193">
        <f>D62+L62</f>
        <v>7438376</v>
      </c>
      <c r="D62" s="195">
        <f>E62+H62+I62+J62+K62</f>
        <v>7438376</v>
      </c>
      <c r="E62" s="195">
        <f>F62+G62</f>
        <v>0</v>
      </c>
      <c r="F62" s="195">
        <v>0</v>
      </c>
      <c r="G62" s="195">
        <v>0</v>
      </c>
      <c r="H62" s="195">
        <v>0</v>
      </c>
      <c r="I62" s="195">
        <v>0</v>
      </c>
      <c r="J62" s="195">
        <v>0</v>
      </c>
      <c r="K62" s="195">
        <v>7438376</v>
      </c>
      <c r="L62" s="195">
        <f>M62+O62</f>
        <v>0</v>
      </c>
      <c r="M62" s="195">
        <v>0</v>
      </c>
      <c r="N62" s="195">
        <v>0</v>
      </c>
      <c r="O62" s="221">
        <v>0</v>
      </c>
      <c r="P62" s="169"/>
    </row>
    <row r="63" spans="1:16" s="157" customFormat="1" ht="43.5" customHeight="1" thickBot="1">
      <c r="A63" s="191" t="s">
        <v>288</v>
      </c>
      <c r="B63" s="213" t="s">
        <v>289</v>
      </c>
      <c r="C63" s="193">
        <f>D63+L63</f>
        <v>34082675</v>
      </c>
      <c r="D63" s="194">
        <f>E63+H63+I63+J63+K63</f>
        <v>34082675</v>
      </c>
      <c r="E63" s="194">
        <f>F63+G63</f>
        <v>0</v>
      </c>
      <c r="F63" s="194">
        <v>0</v>
      </c>
      <c r="G63" s="195">
        <v>0</v>
      </c>
      <c r="H63" s="195">
        <v>0</v>
      </c>
      <c r="I63" s="195">
        <v>0</v>
      </c>
      <c r="J63" s="195">
        <v>0</v>
      </c>
      <c r="K63" s="195">
        <v>34082675</v>
      </c>
      <c r="L63" s="195">
        <f>M63+O63</f>
        <v>0</v>
      </c>
      <c r="M63" s="195">
        <v>0</v>
      </c>
      <c r="N63" s="194">
        <v>0</v>
      </c>
      <c r="O63" s="196">
        <v>0</v>
      </c>
      <c r="P63" s="169"/>
    </row>
    <row r="64" spans="1:16" s="200" customFormat="1" ht="18" customHeight="1" thickBot="1">
      <c r="A64" s="170" t="s">
        <v>92</v>
      </c>
      <c r="B64" s="171" t="s">
        <v>93</v>
      </c>
      <c r="C64" s="172">
        <f aca="true" t="shared" si="22" ref="C64:O64">C65</f>
        <v>14250000</v>
      </c>
      <c r="D64" s="173">
        <f t="shared" si="22"/>
        <v>7850000</v>
      </c>
      <c r="E64" s="173">
        <f t="shared" si="22"/>
        <v>7850000</v>
      </c>
      <c r="F64" s="173">
        <f t="shared" si="22"/>
        <v>0</v>
      </c>
      <c r="G64" s="197">
        <f t="shared" si="22"/>
        <v>7850000</v>
      </c>
      <c r="H64" s="197">
        <f t="shared" si="22"/>
        <v>0</v>
      </c>
      <c r="I64" s="197">
        <f t="shared" si="22"/>
        <v>0</v>
      </c>
      <c r="J64" s="197">
        <f t="shared" si="22"/>
        <v>0</v>
      </c>
      <c r="K64" s="197">
        <f t="shared" si="22"/>
        <v>0</v>
      </c>
      <c r="L64" s="197">
        <f t="shared" si="22"/>
        <v>6400000</v>
      </c>
      <c r="M64" s="197">
        <f t="shared" si="22"/>
        <v>6400000</v>
      </c>
      <c r="N64" s="173">
        <f>N65</f>
        <v>0</v>
      </c>
      <c r="O64" s="174">
        <f t="shared" si="22"/>
        <v>0</v>
      </c>
      <c r="P64" s="199"/>
    </row>
    <row r="65" spans="1:16" s="184" customFormat="1" ht="18.75" customHeight="1" thickBot="1">
      <c r="A65" s="177" t="s">
        <v>290</v>
      </c>
      <c r="B65" s="178" t="s">
        <v>291</v>
      </c>
      <c r="C65" s="179">
        <f>D65+L65</f>
        <v>14250000</v>
      </c>
      <c r="D65" s="180">
        <f>E65+H65+I65+J65+K65</f>
        <v>7850000</v>
      </c>
      <c r="E65" s="180">
        <f>F65+G65</f>
        <v>7850000</v>
      </c>
      <c r="F65" s="180">
        <v>0</v>
      </c>
      <c r="G65" s="181">
        <v>7850000</v>
      </c>
      <c r="H65" s="181">
        <v>0</v>
      </c>
      <c r="I65" s="181">
        <v>0</v>
      </c>
      <c r="J65" s="181">
        <v>0</v>
      </c>
      <c r="K65" s="181">
        <v>0</v>
      </c>
      <c r="L65" s="181">
        <f>M65+O65</f>
        <v>6400000</v>
      </c>
      <c r="M65" s="181">
        <v>6400000</v>
      </c>
      <c r="N65" s="180">
        <v>0</v>
      </c>
      <c r="O65" s="182">
        <v>0</v>
      </c>
      <c r="P65" s="183"/>
    </row>
    <row r="66" spans="1:16" s="200" customFormat="1" ht="18" customHeight="1" thickBot="1">
      <c r="A66" s="170" t="s">
        <v>94</v>
      </c>
      <c r="B66" s="171" t="s">
        <v>95</v>
      </c>
      <c r="C66" s="172">
        <f aca="true" t="shared" si="23" ref="C66:O66">C67+C68+C69+C70+C71+C72+C73+C74+C75+C76+C77+C78+C79</f>
        <v>78600737</v>
      </c>
      <c r="D66" s="197">
        <f t="shared" si="23"/>
        <v>71504737</v>
      </c>
      <c r="E66" s="197">
        <f t="shared" si="23"/>
        <v>58601828</v>
      </c>
      <c r="F66" s="197">
        <f t="shared" si="23"/>
        <v>51743547</v>
      </c>
      <c r="G66" s="197">
        <f t="shared" si="23"/>
        <v>6858281</v>
      </c>
      <c r="H66" s="197">
        <f t="shared" si="23"/>
        <v>0</v>
      </c>
      <c r="I66" s="197">
        <f t="shared" si="23"/>
        <v>163024</v>
      </c>
      <c r="J66" s="197">
        <f t="shared" si="23"/>
        <v>12739885</v>
      </c>
      <c r="K66" s="197">
        <f t="shared" si="23"/>
        <v>0</v>
      </c>
      <c r="L66" s="197">
        <f t="shared" si="23"/>
        <v>7096000</v>
      </c>
      <c r="M66" s="197">
        <f t="shared" si="23"/>
        <v>7096000</v>
      </c>
      <c r="N66" s="197">
        <f t="shared" si="23"/>
        <v>5975439</v>
      </c>
      <c r="O66" s="198">
        <f t="shared" si="23"/>
        <v>0</v>
      </c>
      <c r="P66" s="199"/>
    </row>
    <row r="67" spans="1:16" s="184" customFormat="1" ht="18.75" customHeight="1">
      <c r="A67" s="177" t="s">
        <v>292</v>
      </c>
      <c r="B67" s="178" t="s">
        <v>110</v>
      </c>
      <c r="C67" s="179">
        <f aca="true" t="shared" si="24" ref="C67:C79">D67+L67</f>
        <v>16870403</v>
      </c>
      <c r="D67" s="180">
        <f aca="true" t="shared" si="25" ref="D67:D79">E67+H67+I67+J67+K67</f>
        <v>16870403</v>
      </c>
      <c r="E67" s="180">
        <f aca="true" t="shared" si="26" ref="E67:E79">F67+G67</f>
        <v>16852540</v>
      </c>
      <c r="F67" s="180">
        <v>15575271</v>
      </c>
      <c r="G67" s="181">
        <v>1277269</v>
      </c>
      <c r="H67" s="181">
        <v>0</v>
      </c>
      <c r="I67" s="181">
        <v>17863</v>
      </c>
      <c r="J67" s="181">
        <v>0</v>
      </c>
      <c r="K67" s="181">
        <v>0</v>
      </c>
      <c r="L67" s="181">
        <f aca="true" t="shared" si="27" ref="L67:L79">M67+O67</f>
        <v>0</v>
      </c>
      <c r="M67" s="181">
        <v>0</v>
      </c>
      <c r="N67" s="180">
        <v>0</v>
      </c>
      <c r="O67" s="182">
        <v>0</v>
      </c>
      <c r="P67" s="183"/>
    </row>
    <row r="68" spans="1:16" s="184" customFormat="1" ht="18.75" customHeight="1">
      <c r="A68" s="177" t="s">
        <v>293</v>
      </c>
      <c r="B68" s="178" t="s">
        <v>294</v>
      </c>
      <c r="C68" s="179">
        <f t="shared" si="24"/>
        <v>1071781</v>
      </c>
      <c r="D68" s="180">
        <f t="shared" si="25"/>
        <v>1071781</v>
      </c>
      <c r="E68" s="180">
        <f t="shared" si="26"/>
        <v>283202</v>
      </c>
      <c r="F68" s="180">
        <v>269629</v>
      </c>
      <c r="G68" s="181">
        <f>2046+700+738+214+449+352+105+8969</f>
        <v>13573</v>
      </c>
      <c r="H68" s="181">
        <v>0</v>
      </c>
      <c r="I68" s="181">
        <v>1099</v>
      </c>
      <c r="J68" s="181">
        <f>477075+84190+78547+13861+11182+1973+31372+5536+4080+720+3400+600+55202+9742+8500+1500</f>
        <v>787480</v>
      </c>
      <c r="K68" s="181">
        <v>0</v>
      </c>
      <c r="L68" s="181">
        <f t="shared" si="27"/>
        <v>0</v>
      </c>
      <c r="M68" s="181">
        <v>0</v>
      </c>
      <c r="N68" s="180">
        <v>0</v>
      </c>
      <c r="O68" s="182">
        <v>0</v>
      </c>
      <c r="P68" s="183"/>
    </row>
    <row r="69" spans="1:16" s="184" customFormat="1" ht="18.75" customHeight="1">
      <c r="A69" s="177" t="s">
        <v>295</v>
      </c>
      <c r="B69" s="178" t="s">
        <v>111</v>
      </c>
      <c r="C69" s="179">
        <f t="shared" si="24"/>
        <v>2059189</v>
      </c>
      <c r="D69" s="180">
        <f t="shared" si="25"/>
        <v>2059189</v>
      </c>
      <c r="E69" s="180">
        <f t="shared" si="26"/>
        <v>2053642</v>
      </c>
      <c r="F69" s="180">
        <v>1921296</v>
      </c>
      <c r="G69" s="181">
        <v>132346</v>
      </c>
      <c r="H69" s="181">
        <v>0</v>
      </c>
      <c r="I69" s="181">
        <v>5547</v>
      </c>
      <c r="J69" s="181">
        <v>0</v>
      </c>
      <c r="K69" s="181">
        <v>0</v>
      </c>
      <c r="L69" s="181">
        <f t="shared" si="27"/>
        <v>0</v>
      </c>
      <c r="M69" s="181">
        <v>0</v>
      </c>
      <c r="N69" s="180">
        <v>0</v>
      </c>
      <c r="O69" s="182">
        <v>0</v>
      </c>
      <c r="P69" s="183"/>
    </row>
    <row r="70" spans="1:16" s="184" customFormat="1" ht="18.75" customHeight="1">
      <c r="A70" s="177" t="s">
        <v>296</v>
      </c>
      <c r="B70" s="178" t="s">
        <v>297</v>
      </c>
      <c r="C70" s="179">
        <f t="shared" si="24"/>
        <v>16500</v>
      </c>
      <c r="D70" s="181">
        <f t="shared" si="25"/>
        <v>16500</v>
      </c>
      <c r="E70" s="181">
        <f t="shared" si="26"/>
        <v>16500</v>
      </c>
      <c r="F70" s="181">
        <v>0</v>
      </c>
      <c r="G70" s="181">
        <v>16500</v>
      </c>
      <c r="H70" s="181">
        <v>0</v>
      </c>
      <c r="I70" s="181">
        <v>0</v>
      </c>
      <c r="J70" s="181">
        <v>0</v>
      </c>
      <c r="K70" s="181">
        <v>0</v>
      </c>
      <c r="L70" s="181">
        <f t="shared" si="27"/>
        <v>0</v>
      </c>
      <c r="M70" s="181">
        <v>0</v>
      </c>
      <c r="N70" s="180">
        <v>0</v>
      </c>
      <c r="O70" s="182">
        <v>0</v>
      </c>
      <c r="P70" s="183"/>
    </row>
    <row r="71" spans="1:16" s="184" customFormat="1" ht="18.75" customHeight="1">
      <c r="A71" s="177" t="s">
        <v>298</v>
      </c>
      <c r="B71" s="178" t="s">
        <v>186</v>
      </c>
      <c r="C71" s="179">
        <f t="shared" si="24"/>
        <v>10638878</v>
      </c>
      <c r="D71" s="181">
        <f t="shared" si="25"/>
        <v>5554878</v>
      </c>
      <c r="E71" s="181">
        <f t="shared" si="26"/>
        <v>5309543</v>
      </c>
      <c r="F71" s="181">
        <v>4498803</v>
      </c>
      <c r="G71" s="181">
        <f>8000+119000+76000+185000+47500+3400+148630+11560+540+5000+5500+196110+4500</f>
        <v>810740</v>
      </c>
      <c r="H71" s="181">
        <v>0</v>
      </c>
      <c r="I71" s="181">
        <v>10200</v>
      </c>
      <c r="J71" s="181">
        <f>111687+19709+11133+1964+19199+3388+2737+483+14308+2525+9323+1646+31478+5555</f>
        <v>235135</v>
      </c>
      <c r="K71" s="181">
        <v>0</v>
      </c>
      <c r="L71" s="181">
        <f t="shared" si="27"/>
        <v>5084000</v>
      </c>
      <c r="M71" s="181">
        <v>5084000</v>
      </c>
      <c r="N71" s="181">
        <f>4307800+760200</f>
        <v>5068000</v>
      </c>
      <c r="O71" s="206">
        <v>0</v>
      </c>
      <c r="P71" s="183"/>
    </row>
    <row r="72" spans="1:16" s="184" customFormat="1" ht="18.75" customHeight="1">
      <c r="A72" s="177" t="s">
        <v>299</v>
      </c>
      <c r="B72" s="190" t="s">
        <v>112</v>
      </c>
      <c r="C72" s="179">
        <f t="shared" si="24"/>
        <v>2418611</v>
      </c>
      <c r="D72" s="180">
        <f t="shared" si="25"/>
        <v>2418611</v>
      </c>
      <c r="E72" s="180">
        <f t="shared" si="26"/>
        <v>2413436</v>
      </c>
      <c r="F72" s="180">
        <v>2237283</v>
      </c>
      <c r="G72" s="181">
        <v>176153</v>
      </c>
      <c r="H72" s="181">
        <v>0</v>
      </c>
      <c r="I72" s="181">
        <v>5175</v>
      </c>
      <c r="J72" s="181">
        <v>0</v>
      </c>
      <c r="K72" s="181">
        <v>0</v>
      </c>
      <c r="L72" s="181">
        <f t="shared" si="27"/>
        <v>0</v>
      </c>
      <c r="M72" s="181">
        <v>0</v>
      </c>
      <c r="N72" s="180">
        <v>0</v>
      </c>
      <c r="O72" s="182">
        <v>0</v>
      </c>
      <c r="P72" s="183"/>
    </row>
    <row r="73" spans="1:16" s="184" customFormat="1" ht="18.75" customHeight="1">
      <c r="A73" s="177" t="s">
        <v>300</v>
      </c>
      <c r="B73" s="178" t="s">
        <v>113</v>
      </c>
      <c r="C73" s="179">
        <f t="shared" si="24"/>
        <v>12599044</v>
      </c>
      <c r="D73" s="180">
        <f t="shared" si="25"/>
        <v>12599044</v>
      </c>
      <c r="E73" s="180">
        <f t="shared" si="26"/>
        <v>12590944</v>
      </c>
      <c r="F73" s="180">
        <v>11476719</v>
      </c>
      <c r="G73" s="181">
        <v>1114225</v>
      </c>
      <c r="H73" s="181">
        <v>0</v>
      </c>
      <c r="I73" s="181">
        <v>8100</v>
      </c>
      <c r="J73" s="181">
        <v>0</v>
      </c>
      <c r="K73" s="181">
        <v>0</v>
      </c>
      <c r="L73" s="181">
        <f t="shared" si="27"/>
        <v>0</v>
      </c>
      <c r="M73" s="181">
        <v>0</v>
      </c>
      <c r="N73" s="180">
        <v>0</v>
      </c>
      <c r="O73" s="182">
        <v>0</v>
      </c>
      <c r="P73" s="183"/>
    </row>
    <row r="74" spans="1:16" s="157" customFormat="1" ht="38.25" customHeight="1">
      <c r="A74" s="191" t="s">
        <v>301</v>
      </c>
      <c r="B74" s="213" t="s">
        <v>302</v>
      </c>
      <c r="C74" s="193">
        <f t="shared" si="24"/>
        <v>4340039</v>
      </c>
      <c r="D74" s="194">
        <f t="shared" si="25"/>
        <v>2840039</v>
      </c>
      <c r="E74" s="194">
        <f t="shared" si="26"/>
        <v>2336580</v>
      </c>
      <c r="F74" s="194">
        <v>2060720</v>
      </c>
      <c r="G74" s="195">
        <f>70000+3000+24000+3000+3640+46000+4000+34680+10000+2500+72440+1400+1200</f>
        <v>275860</v>
      </c>
      <c r="H74" s="195">
        <v>0</v>
      </c>
      <c r="I74" s="195">
        <v>1500</v>
      </c>
      <c r="J74" s="195">
        <f>338862+59799+58251+10280+8302+1465+21250+3750</f>
        <v>501959</v>
      </c>
      <c r="K74" s="195">
        <v>0</v>
      </c>
      <c r="L74" s="195">
        <f t="shared" si="27"/>
        <v>1500000</v>
      </c>
      <c r="M74" s="195">
        <v>1500000</v>
      </c>
      <c r="N74" s="194">
        <f>544434+96077+102789+18139</f>
        <v>761439</v>
      </c>
      <c r="O74" s="196">
        <v>0</v>
      </c>
      <c r="P74" s="169"/>
    </row>
    <row r="75" spans="1:16" s="184" customFormat="1" ht="18.75" customHeight="1">
      <c r="A75" s="177" t="s">
        <v>303</v>
      </c>
      <c r="B75" s="178" t="s">
        <v>114</v>
      </c>
      <c r="C75" s="179">
        <f t="shared" si="24"/>
        <v>7807698</v>
      </c>
      <c r="D75" s="180">
        <f t="shared" si="25"/>
        <v>7441698</v>
      </c>
      <c r="E75" s="180">
        <f t="shared" si="26"/>
        <v>7433443</v>
      </c>
      <c r="F75" s="180">
        <v>6462284</v>
      </c>
      <c r="G75" s="181">
        <v>971159</v>
      </c>
      <c r="H75" s="181">
        <v>0</v>
      </c>
      <c r="I75" s="181">
        <v>8255</v>
      </c>
      <c r="J75" s="181">
        <v>0</v>
      </c>
      <c r="K75" s="181">
        <v>0</v>
      </c>
      <c r="L75" s="181">
        <f t="shared" si="27"/>
        <v>366000</v>
      </c>
      <c r="M75" s="181">
        <v>366000</v>
      </c>
      <c r="N75" s="180">
        <v>0</v>
      </c>
      <c r="O75" s="182">
        <v>0</v>
      </c>
      <c r="P75" s="183"/>
    </row>
    <row r="76" spans="1:16" s="184" customFormat="1" ht="18.75" customHeight="1">
      <c r="A76" s="177" t="s">
        <v>304</v>
      </c>
      <c r="B76" s="178" t="s">
        <v>115</v>
      </c>
      <c r="C76" s="179">
        <f t="shared" si="24"/>
        <v>6905757</v>
      </c>
      <c r="D76" s="180">
        <f t="shared" si="25"/>
        <v>6905757</v>
      </c>
      <c r="E76" s="180">
        <f t="shared" si="26"/>
        <v>6900472</v>
      </c>
      <c r="F76" s="180">
        <v>5835244</v>
      </c>
      <c r="G76" s="181">
        <v>1065228</v>
      </c>
      <c r="H76" s="181">
        <v>0</v>
      </c>
      <c r="I76" s="181">
        <v>5285</v>
      </c>
      <c r="J76" s="181">
        <v>0</v>
      </c>
      <c r="K76" s="181">
        <v>0</v>
      </c>
      <c r="L76" s="181">
        <f t="shared" si="27"/>
        <v>0</v>
      </c>
      <c r="M76" s="181">
        <v>0</v>
      </c>
      <c r="N76" s="180">
        <v>0</v>
      </c>
      <c r="O76" s="182">
        <v>0</v>
      </c>
      <c r="P76" s="183"/>
    </row>
    <row r="77" spans="1:16" s="157" customFormat="1" ht="69" customHeight="1">
      <c r="A77" s="191" t="s">
        <v>305</v>
      </c>
      <c r="B77" s="213" t="s">
        <v>306</v>
      </c>
      <c r="C77" s="193">
        <f t="shared" si="24"/>
        <v>1252229</v>
      </c>
      <c r="D77" s="194">
        <f t="shared" si="25"/>
        <v>1252229</v>
      </c>
      <c r="E77" s="194">
        <f t="shared" si="26"/>
        <v>1252229</v>
      </c>
      <c r="F77" s="194">
        <v>1199005</v>
      </c>
      <c r="G77" s="195">
        <v>53224</v>
      </c>
      <c r="H77" s="195">
        <v>0</v>
      </c>
      <c r="I77" s="195">
        <v>0</v>
      </c>
      <c r="J77" s="195">
        <v>0</v>
      </c>
      <c r="K77" s="195">
        <v>0</v>
      </c>
      <c r="L77" s="195">
        <f t="shared" si="27"/>
        <v>0</v>
      </c>
      <c r="M77" s="195">
        <v>0</v>
      </c>
      <c r="N77" s="194">
        <v>0</v>
      </c>
      <c r="O77" s="196">
        <v>0</v>
      </c>
      <c r="P77" s="169"/>
    </row>
    <row r="78" spans="1:16" s="184" customFormat="1" ht="18.75" customHeight="1">
      <c r="A78" s="177" t="s">
        <v>307</v>
      </c>
      <c r="B78" s="178" t="s">
        <v>188</v>
      </c>
      <c r="C78" s="179">
        <f t="shared" si="24"/>
        <v>86473</v>
      </c>
      <c r="D78" s="180">
        <f t="shared" si="25"/>
        <v>86473</v>
      </c>
      <c r="E78" s="180">
        <f t="shared" si="26"/>
        <v>86473</v>
      </c>
      <c r="F78" s="180">
        <v>86293</v>
      </c>
      <c r="G78" s="181">
        <v>180</v>
      </c>
      <c r="H78" s="181">
        <v>0</v>
      </c>
      <c r="I78" s="181">
        <v>0</v>
      </c>
      <c r="J78" s="181">
        <v>0</v>
      </c>
      <c r="K78" s="181">
        <v>0</v>
      </c>
      <c r="L78" s="181">
        <f t="shared" si="27"/>
        <v>0</v>
      </c>
      <c r="M78" s="181">
        <v>0</v>
      </c>
      <c r="N78" s="180">
        <v>0</v>
      </c>
      <c r="O78" s="182">
        <v>0</v>
      </c>
      <c r="P78" s="183"/>
    </row>
    <row r="79" spans="1:16" s="184" customFormat="1" ht="18.75" customHeight="1" thickBot="1">
      <c r="A79" s="177" t="s">
        <v>308</v>
      </c>
      <c r="B79" s="178" t="s">
        <v>130</v>
      </c>
      <c r="C79" s="179">
        <f t="shared" si="24"/>
        <v>12534135</v>
      </c>
      <c r="D79" s="180">
        <f t="shared" si="25"/>
        <v>12388135</v>
      </c>
      <c r="E79" s="180">
        <f t="shared" si="26"/>
        <v>1072824</v>
      </c>
      <c r="F79" s="180">
        <v>121000</v>
      </c>
      <c r="G79" s="181">
        <f>192500+22000+1000+129000+599324+8000</f>
        <v>951824</v>
      </c>
      <c r="H79" s="181">
        <v>0</v>
      </c>
      <c r="I79" s="181">
        <v>100000</v>
      </c>
      <c r="J79" s="181">
        <v>11215311</v>
      </c>
      <c r="K79" s="181">
        <v>0</v>
      </c>
      <c r="L79" s="181">
        <f t="shared" si="27"/>
        <v>146000</v>
      </c>
      <c r="M79" s="181">
        <v>146000</v>
      </c>
      <c r="N79" s="180">
        <v>146000</v>
      </c>
      <c r="O79" s="182">
        <v>0</v>
      </c>
      <c r="P79" s="183"/>
    </row>
    <row r="80" spans="1:16" s="200" customFormat="1" ht="18" customHeight="1" thickBot="1">
      <c r="A80" s="170" t="s">
        <v>309</v>
      </c>
      <c r="B80" s="171" t="s">
        <v>310</v>
      </c>
      <c r="C80" s="172">
        <f aca="true" t="shared" si="28" ref="C80:O80">C81</f>
        <v>2100000</v>
      </c>
      <c r="D80" s="197">
        <f t="shared" si="28"/>
        <v>0</v>
      </c>
      <c r="E80" s="197">
        <f t="shared" si="28"/>
        <v>0</v>
      </c>
      <c r="F80" s="197">
        <f t="shared" si="28"/>
        <v>0</v>
      </c>
      <c r="G80" s="197">
        <f t="shared" si="28"/>
        <v>0</v>
      </c>
      <c r="H80" s="197">
        <f t="shared" si="28"/>
        <v>0</v>
      </c>
      <c r="I80" s="197">
        <f t="shared" si="28"/>
        <v>0</v>
      </c>
      <c r="J80" s="197">
        <f t="shared" si="28"/>
        <v>0</v>
      </c>
      <c r="K80" s="197">
        <f t="shared" si="28"/>
        <v>0</v>
      </c>
      <c r="L80" s="197">
        <f t="shared" si="28"/>
        <v>2100000</v>
      </c>
      <c r="M80" s="197">
        <f t="shared" si="28"/>
        <v>2100000</v>
      </c>
      <c r="N80" s="197">
        <f>N81</f>
        <v>0</v>
      </c>
      <c r="O80" s="198">
        <f t="shared" si="28"/>
        <v>0</v>
      </c>
      <c r="P80" s="199"/>
    </row>
    <row r="81" spans="1:16" s="184" customFormat="1" ht="18.75" customHeight="1" thickBot="1">
      <c r="A81" s="222">
        <v>80395</v>
      </c>
      <c r="B81" s="223" t="s">
        <v>130</v>
      </c>
      <c r="C81" s="224">
        <f>D81+L81</f>
        <v>2100000</v>
      </c>
      <c r="D81" s="225">
        <f>E81+H81+I81+J81+K81</f>
        <v>0</v>
      </c>
      <c r="E81" s="225">
        <f>F81+G81</f>
        <v>0</v>
      </c>
      <c r="F81" s="225">
        <v>0</v>
      </c>
      <c r="G81" s="226">
        <v>0</v>
      </c>
      <c r="H81" s="226">
        <v>0</v>
      </c>
      <c r="I81" s="226">
        <v>0</v>
      </c>
      <c r="J81" s="226">
        <v>0</v>
      </c>
      <c r="K81" s="226">
        <v>0</v>
      </c>
      <c r="L81" s="226">
        <f>M81+O81</f>
        <v>2100000</v>
      </c>
      <c r="M81" s="226">
        <v>2100000</v>
      </c>
      <c r="N81" s="225">
        <v>0</v>
      </c>
      <c r="O81" s="227">
        <v>0</v>
      </c>
      <c r="P81" s="183"/>
    </row>
    <row r="82" spans="1:16" s="200" customFormat="1" ht="18" customHeight="1" thickBot="1">
      <c r="A82" s="170" t="s">
        <v>96</v>
      </c>
      <c r="B82" s="171" t="s">
        <v>97</v>
      </c>
      <c r="C82" s="172">
        <f aca="true" t="shared" si="29" ref="C82:O82">C83+C84+C85+C86+C87+C88+C89+C90</f>
        <v>35209993</v>
      </c>
      <c r="D82" s="197">
        <f t="shared" si="29"/>
        <v>9497802</v>
      </c>
      <c r="E82" s="197">
        <f t="shared" si="29"/>
        <v>3613000</v>
      </c>
      <c r="F82" s="197">
        <f t="shared" si="29"/>
        <v>21000</v>
      </c>
      <c r="G82" s="197">
        <f t="shared" si="29"/>
        <v>3592000</v>
      </c>
      <c r="H82" s="197">
        <f t="shared" si="29"/>
        <v>1685000</v>
      </c>
      <c r="I82" s="197">
        <f t="shared" si="29"/>
        <v>0</v>
      </c>
      <c r="J82" s="197">
        <f t="shared" si="29"/>
        <v>4199802</v>
      </c>
      <c r="K82" s="197">
        <f t="shared" si="29"/>
        <v>0</v>
      </c>
      <c r="L82" s="197">
        <f t="shared" si="29"/>
        <v>25712191</v>
      </c>
      <c r="M82" s="197">
        <f t="shared" si="29"/>
        <v>2749691</v>
      </c>
      <c r="N82" s="197">
        <f t="shared" si="29"/>
        <v>99000</v>
      </c>
      <c r="O82" s="198">
        <f t="shared" si="29"/>
        <v>22962500</v>
      </c>
      <c r="P82" s="199"/>
    </row>
    <row r="83" spans="1:16" s="184" customFormat="1" ht="18.75" customHeight="1">
      <c r="A83" s="228">
        <v>85111</v>
      </c>
      <c r="B83" s="178" t="s">
        <v>311</v>
      </c>
      <c r="C83" s="179">
        <f aca="true" t="shared" si="30" ref="C83:C90">D83+L83</f>
        <v>464563</v>
      </c>
      <c r="D83" s="180">
        <f aca="true" t="shared" si="31" ref="D83:D90">E83+H83+I83+J83+K83</f>
        <v>0</v>
      </c>
      <c r="E83" s="180">
        <f aca="true" t="shared" si="32" ref="E83:E90">F83+G83</f>
        <v>0</v>
      </c>
      <c r="F83" s="180">
        <v>0</v>
      </c>
      <c r="G83" s="181">
        <v>0</v>
      </c>
      <c r="H83" s="181">
        <v>0</v>
      </c>
      <c r="I83" s="181">
        <v>0</v>
      </c>
      <c r="J83" s="181">
        <v>0</v>
      </c>
      <c r="K83" s="181">
        <v>0</v>
      </c>
      <c r="L83" s="181">
        <f aca="true" t="shared" si="33" ref="L83:L90">M83+O83</f>
        <v>464563</v>
      </c>
      <c r="M83" s="181">
        <v>464563</v>
      </c>
      <c r="N83" s="180">
        <v>0</v>
      </c>
      <c r="O83" s="182">
        <v>0</v>
      </c>
      <c r="P83" s="183"/>
    </row>
    <row r="84" spans="1:16" s="184" customFormat="1" ht="18.75" customHeight="1">
      <c r="A84" s="228">
        <v>85141</v>
      </c>
      <c r="B84" s="178" t="s">
        <v>312</v>
      </c>
      <c r="C84" s="179">
        <f t="shared" si="30"/>
        <v>286128</v>
      </c>
      <c r="D84" s="180">
        <f t="shared" si="31"/>
        <v>0</v>
      </c>
      <c r="E84" s="180">
        <f t="shared" si="32"/>
        <v>0</v>
      </c>
      <c r="F84" s="180">
        <v>0</v>
      </c>
      <c r="G84" s="181">
        <v>0</v>
      </c>
      <c r="H84" s="181">
        <v>0</v>
      </c>
      <c r="I84" s="181">
        <v>0</v>
      </c>
      <c r="J84" s="181">
        <v>0</v>
      </c>
      <c r="K84" s="181">
        <v>0</v>
      </c>
      <c r="L84" s="181">
        <f t="shared" si="33"/>
        <v>286128</v>
      </c>
      <c r="M84" s="181">
        <v>286128</v>
      </c>
      <c r="N84" s="180">
        <v>0</v>
      </c>
      <c r="O84" s="182">
        <v>0</v>
      </c>
      <c r="P84" s="183"/>
    </row>
    <row r="85" spans="1:16" s="184" customFormat="1" ht="18.75" customHeight="1">
      <c r="A85" s="228">
        <v>85148</v>
      </c>
      <c r="B85" s="178" t="s">
        <v>313</v>
      </c>
      <c r="C85" s="179">
        <f t="shared" si="30"/>
        <v>3350000</v>
      </c>
      <c r="D85" s="180">
        <f t="shared" si="31"/>
        <v>3350000</v>
      </c>
      <c r="E85" s="180">
        <f t="shared" si="32"/>
        <v>3350000</v>
      </c>
      <c r="F85" s="180">
        <v>0</v>
      </c>
      <c r="G85" s="181">
        <v>3350000</v>
      </c>
      <c r="H85" s="181">
        <v>0</v>
      </c>
      <c r="I85" s="181">
        <v>0</v>
      </c>
      <c r="J85" s="181">
        <v>0</v>
      </c>
      <c r="K85" s="181">
        <v>0</v>
      </c>
      <c r="L85" s="181">
        <f t="shared" si="33"/>
        <v>0</v>
      </c>
      <c r="M85" s="181">
        <v>0</v>
      </c>
      <c r="N85" s="180">
        <v>0</v>
      </c>
      <c r="O85" s="182">
        <v>0</v>
      </c>
      <c r="P85" s="183"/>
    </row>
    <row r="86" spans="1:16" s="184" customFormat="1" ht="18.75" customHeight="1">
      <c r="A86" s="228">
        <v>85149</v>
      </c>
      <c r="B86" s="178" t="s">
        <v>314</v>
      </c>
      <c r="C86" s="179">
        <f t="shared" si="30"/>
        <v>3727000</v>
      </c>
      <c r="D86" s="180">
        <f t="shared" si="31"/>
        <v>3715000</v>
      </c>
      <c r="E86" s="180">
        <f t="shared" si="32"/>
        <v>75000</v>
      </c>
      <c r="F86" s="180">
        <v>1000</v>
      </c>
      <c r="G86" s="181">
        <f>2000+2000+70000</f>
        <v>74000</v>
      </c>
      <c r="H86" s="181">
        <v>975000</v>
      </c>
      <c r="I86" s="181">
        <v>0</v>
      </c>
      <c r="J86" s="181">
        <f>2665000</f>
        <v>2665000</v>
      </c>
      <c r="K86" s="181">
        <v>0</v>
      </c>
      <c r="L86" s="181">
        <f t="shared" si="33"/>
        <v>12000</v>
      </c>
      <c r="M86" s="181">
        <v>12000</v>
      </c>
      <c r="N86" s="180">
        <v>12000</v>
      </c>
      <c r="O86" s="182">
        <v>0</v>
      </c>
      <c r="P86" s="183"/>
    </row>
    <row r="87" spans="1:16" s="184" customFormat="1" ht="18.75" customHeight="1">
      <c r="A87" s="228">
        <v>85153</v>
      </c>
      <c r="B87" s="178" t="s">
        <v>315</v>
      </c>
      <c r="C87" s="179">
        <f t="shared" si="30"/>
        <v>480000</v>
      </c>
      <c r="D87" s="180">
        <f t="shared" si="31"/>
        <v>480000</v>
      </c>
      <c r="E87" s="180">
        <f t="shared" si="32"/>
        <v>130000</v>
      </c>
      <c r="F87" s="180">
        <v>14000</v>
      </c>
      <c r="G87" s="181">
        <f>11000+7000+98000</f>
        <v>116000</v>
      </c>
      <c r="H87" s="181">
        <v>350000</v>
      </c>
      <c r="I87" s="181">
        <v>0</v>
      </c>
      <c r="J87" s="181">
        <v>0</v>
      </c>
      <c r="K87" s="181">
        <v>0</v>
      </c>
      <c r="L87" s="181">
        <f t="shared" si="33"/>
        <v>0</v>
      </c>
      <c r="M87" s="181">
        <v>0</v>
      </c>
      <c r="N87" s="180">
        <v>0</v>
      </c>
      <c r="O87" s="182">
        <v>0</v>
      </c>
      <c r="P87" s="183"/>
    </row>
    <row r="88" spans="1:16" s="184" customFormat="1" ht="18.75" customHeight="1">
      <c r="A88" s="228">
        <v>85154</v>
      </c>
      <c r="B88" s="178" t="s">
        <v>316</v>
      </c>
      <c r="C88" s="179">
        <f t="shared" si="30"/>
        <v>2290000</v>
      </c>
      <c r="D88" s="180">
        <f t="shared" si="31"/>
        <v>390000</v>
      </c>
      <c r="E88" s="180">
        <f t="shared" si="32"/>
        <v>30000</v>
      </c>
      <c r="F88" s="180">
        <v>6000</v>
      </c>
      <c r="G88" s="181">
        <v>24000</v>
      </c>
      <c r="H88" s="181">
        <v>360000</v>
      </c>
      <c r="I88" s="181">
        <v>0</v>
      </c>
      <c r="J88" s="181">
        <v>0</v>
      </c>
      <c r="K88" s="181">
        <v>0</v>
      </c>
      <c r="L88" s="181">
        <f t="shared" si="33"/>
        <v>1900000</v>
      </c>
      <c r="M88" s="181">
        <v>1900000</v>
      </c>
      <c r="N88" s="180">
        <v>0</v>
      </c>
      <c r="O88" s="182">
        <v>0</v>
      </c>
      <c r="P88" s="183"/>
    </row>
    <row r="89" spans="1:16" s="157" customFormat="1" ht="39.75" customHeight="1">
      <c r="A89" s="229">
        <v>85156</v>
      </c>
      <c r="B89" s="213" t="s">
        <v>116</v>
      </c>
      <c r="C89" s="193">
        <f t="shared" si="30"/>
        <v>16000</v>
      </c>
      <c r="D89" s="194">
        <f t="shared" si="31"/>
        <v>16000</v>
      </c>
      <c r="E89" s="194">
        <f t="shared" si="32"/>
        <v>16000</v>
      </c>
      <c r="F89" s="194">
        <v>0</v>
      </c>
      <c r="G89" s="195">
        <v>16000</v>
      </c>
      <c r="H89" s="195">
        <v>0</v>
      </c>
      <c r="I89" s="195">
        <v>0</v>
      </c>
      <c r="J89" s="195">
        <v>0</v>
      </c>
      <c r="K89" s="195">
        <v>0</v>
      </c>
      <c r="L89" s="195">
        <f t="shared" si="33"/>
        <v>0</v>
      </c>
      <c r="M89" s="195">
        <v>0</v>
      </c>
      <c r="N89" s="194">
        <v>0</v>
      </c>
      <c r="O89" s="196">
        <v>0</v>
      </c>
      <c r="P89" s="169"/>
    </row>
    <row r="90" spans="1:16" s="184" customFormat="1" ht="18.75" customHeight="1" thickBot="1">
      <c r="A90" s="228">
        <v>85195</v>
      </c>
      <c r="B90" s="178" t="s">
        <v>130</v>
      </c>
      <c r="C90" s="179">
        <f t="shared" si="30"/>
        <v>24596302</v>
      </c>
      <c r="D90" s="180">
        <f t="shared" si="31"/>
        <v>1546802</v>
      </c>
      <c r="E90" s="180">
        <f t="shared" si="32"/>
        <v>12000</v>
      </c>
      <c r="F90" s="180">
        <v>0</v>
      </c>
      <c r="G90" s="181">
        <f>12000</f>
        <v>12000</v>
      </c>
      <c r="H90" s="181">
        <v>0</v>
      </c>
      <c r="I90" s="181">
        <v>0</v>
      </c>
      <c r="J90" s="181">
        <f>966000+18000+65148+11081+11199+1905+1595+272+10256+794+382334+65718+464+36</f>
        <v>1534802</v>
      </c>
      <c r="K90" s="181">
        <v>0</v>
      </c>
      <c r="L90" s="181">
        <f t="shared" si="33"/>
        <v>23049500</v>
      </c>
      <c r="M90" s="181">
        <v>87000</v>
      </c>
      <c r="N90" s="180">
        <v>87000</v>
      </c>
      <c r="O90" s="182">
        <v>22962500</v>
      </c>
      <c r="P90" s="183"/>
    </row>
    <row r="91" spans="1:16" s="200" customFormat="1" ht="18" customHeight="1" thickBot="1">
      <c r="A91" s="230">
        <v>852</v>
      </c>
      <c r="B91" s="171" t="s">
        <v>98</v>
      </c>
      <c r="C91" s="172">
        <f aca="true" t="shared" si="34" ref="C91:O91">C92+C93+C94+C96+C95</f>
        <v>30182790</v>
      </c>
      <c r="D91" s="197">
        <f t="shared" si="34"/>
        <v>29881790</v>
      </c>
      <c r="E91" s="197">
        <f t="shared" si="34"/>
        <v>3148477</v>
      </c>
      <c r="F91" s="197">
        <f t="shared" si="34"/>
        <v>2316491</v>
      </c>
      <c r="G91" s="197">
        <f t="shared" si="34"/>
        <v>831986</v>
      </c>
      <c r="H91" s="197">
        <f t="shared" si="34"/>
        <v>870000</v>
      </c>
      <c r="I91" s="197">
        <f t="shared" si="34"/>
        <v>48300</v>
      </c>
      <c r="J91" s="197">
        <f t="shared" si="34"/>
        <v>25815013</v>
      </c>
      <c r="K91" s="197">
        <f t="shared" si="34"/>
        <v>0</v>
      </c>
      <c r="L91" s="197">
        <f t="shared" si="34"/>
        <v>301000</v>
      </c>
      <c r="M91" s="197">
        <f t="shared" si="34"/>
        <v>301000</v>
      </c>
      <c r="N91" s="197">
        <f t="shared" si="34"/>
        <v>278000</v>
      </c>
      <c r="O91" s="198">
        <f t="shared" si="34"/>
        <v>0</v>
      </c>
      <c r="P91" s="199"/>
    </row>
    <row r="92" spans="1:16" s="184" customFormat="1" ht="18.75" customHeight="1">
      <c r="A92" s="228">
        <v>85203</v>
      </c>
      <c r="B92" s="178" t="s">
        <v>317</v>
      </c>
      <c r="C92" s="179">
        <f>D92+L92</f>
        <v>2030000</v>
      </c>
      <c r="D92" s="181">
        <f>E92+H92+I92+J92+K92</f>
        <v>1950000</v>
      </c>
      <c r="E92" s="181">
        <f>F92+G92</f>
        <v>0</v>
      </c>
      <c r="F92" s="181">
        <v>0</v>
      </c>
      <c r="G92" s="181">
        <v>0</v>
      </c>
      <c r="H92" s="181">
        <v>0</v>
      </c>
      <c r="I92" s="181">
        <v>0</v>
      </c>
      <c r="J92" s="181">
        <v>1950000</v>
      </c>
      <c r="K92" s="181">
        <v>0</v>
      </c>
      <c r="L92" s="181">
        <f>M92+O92</f>
        <v>80000</v>
      </c>
      <c r="M92" s="181">
        <v>80000</v>
      </c>
      <c r="N92" s="181">
        <v>80000</v>
      </c>
      <c r="O92" s="206">
        <v>0</v>
      </c>
      <c r="P92" s="183"/>
    </row>
    <row r="93" spans="1:16" s="157" customFormat="1" ht="27.75" customHeight="1">
      <c r="A93" s="229">
        <v>85205</v>
      </c>
      <c r="B93" s="213" t="s">
        <v>143</v>
      </c>
      <c r="C93" s="193">
        <f>D93+L93</f>
        <v>504000</v>
      </c>
      <c r="D93" s="194">
        <f>E93+H93+I93+J93+K93</f>
        <v>504000</v>
      </c>
      <c r="E93" s="194">
        <f>F93+G93</f>
        <v>434000</v>
      </c>
      <c r="F93" s="194">
        <v>199400</v>
      </c>
      <c r="G93" s="195">
        <f>4000+1000+224600+5000</f>
        <v>234600</v>
      </c>
      <c r="H93" s="195">
        <v>70000</v>
      </c>
      <c r="I93" s="195">
        <v>0</v>
      </c>
      <c r="J93" s="195">
        <v>0</v>
      </c>
      <c r="K93" s="195">
        <v>0</v>
      </c>
      <c r="L93" s="195">
        <f>M93+O93</f>
        <v>0</v>
      </c>
      <c r="M93" s="195">
        <v>0</v>
      </c>
      <c r="N93" s="194">
        <v>0</v>
      </c>
      <c r="O93" s="196">
        <v>0</v>
      </c>
      <c r="P93" s="169"/>
    </row>
    <row r="94" spans="1:16" s="184" customFormat="1" ht="18.75" customHeight="1">
      <c r="A94" s="228">
        <v>85217</v>
      </c>
      <c r="B94" s="178" t="s">
        <v>117</v>
      </c>
      <c r="C94" s="179">
        <f>D94+L94</f>
        <v>2605777</v>
      </c>
      <c r="D94" s="181">
        <f>E94+H94+I94+J94+K94</f>
        <v>2582777</v>
      </c>
      <c r="E94" s="181">
        <f>F94+G94</f>
        <v>2579477</v>
      </c>
      <c r="F94" s="181">
        <v>2114191</v>
      </c>
      <c r="G94" s="181">
        <f>58502+45000+1000+56400+24500+3710+144460+18300+8000+3100+62752+8500+300+25762+5000</f>
        <v>465286</v>
      </c>
      <c r="H94" s="181">
        <v>0</v>
      </c>
      <c r="I94" s="181">
        <v>3300</v>
      </c>
      <c r="J94" s="181">
        <v>0</v>
      </c>
      <c r="K94" s="181">
        <v>0</v>
      </c>
      <c r="L94" s="181">
        <f>M94+O94</f>
        <v>23000</v>
      </c>
      <c r="M94" s="181">
        <v>23000</v>
      </c>
      <c r="N94" s="181">
        <v>0</v>
      </c>
      <c r="O94" s="206">
        <v>0</v>
      </c>
      <c r="P94" s="183"/>
    </row>
    <row r="95" spans="1:16" s="157" customFormat="1" ht="27.75" customHeight="1">
      <c r="A95" s="229">
        <v>85228</v>
      </c>
      <c r="B95" s="213" t="s">
        <v>318</v>
      </c>
      <c r="C95" s="193">
        <f>D95+L95</f>
        <v>242000</v>
      </c>
      <c r="D95" s="195">
        <f>E95+H95+I95+J95+K95</f>
        <v>239000</v>
      </c>
      <c r="E95" s="195">
        <f>F95+G95</f>
        <v>0</v>
      </c>
      <c r="F95" s="195">
        <v>0</v>
      </c>
      <c r="G95" s="195">
        <v>0</v>
      </c>
      <c r="H95" s="195">
        <v>0</v>
      </c>
      <c r="I95" s="195">
        <v>0</v>
      </c>
      <c r="J95" s="195">
        <f>44000+195000</f>
        <v>239000</v>
      </c>
      <c r="K95" s="195">
        <v>0</v>
      </c>
      <c r="L95" s="195">
        <f>M95+O95</f>
        <v>3000</v>
      </c>
      <c r="M95" s="195">
        <v>3000</v>
      </c>
      <c r="N95" s="195">
        <v>3000</v>
      </c>
      <c r="O95" s="221">
        <v>0</v>
      </c>
      <c r="P95" s="169"/>
    </row>
    <row r="96" spans="1:16" s="184" customFormat="1" ht="18.75" customHeight="1" thickBot="1">
      <c r="A96" s="228">
        <v>85295</v>
      </c>
      <c r="B96" s="178" t="s">
        <v>130</v>
      </c>
      <c r="C96" s="179">
        <f>D96+L96</f>
        <v>24801013</v>
      </c>
      <c r="D96" s="180">
        <f>E96+H96+I96+J96+K96</f>
        <v>24606013</v>
      </c>
      <c r="E96" s="180">
        <f>F96+G96</f>
        <v>135000</v>
      </c>
      <c r="F96" s="180">
        <v>2900</v>
      </c>
      <c r="G96" s="181">
        <f>4000+2500+4100+121500</f>
        <v>132100</v>
      </c>
      <c r="H96" s="181">
        <v>800000</v>
      </c>
      <c r="I96" s="181">
        <v>45000</v>
      </c>
      <c r="J96" s="181">
        <f>3615850+6163337+7433097+1999263+1700+300+1503854+187827+90024+11873+269884+33998+38467+4846+79572+11929+94871+10729+5500+600+5107+593+1739011+200353+7243+857+25500+4500+57509+6581+4382+516+14578+1762</f>
        <v>23626013</v>
      </c>
      <c r="K96" s="181">
        <v>0</v>
      </c>
      <c r="L96" s="181">
        <f>M96+O96</f>
        <v>195000</v>
      </c>
      <c r="M96" s="181">
        <v>195000</v>
      </c>
      <c r="N96" s="180">
        <v>195000</v>
      </c>
      <c r="O96" s="182">
        <v>0</v>
      </c>
      <c r="P96" s="183"/>
    </row>
    <row r="97" spans="1:16" s="220" customFormat="1" ht="30" customHeight="1" thickBot="1">
      <c r="A97" s="231">
        <v>853</v>
      </c>
      <c r="B97" s="215" t="s">
        <v>118</v>
      </c>
      <c r="C97" s="216">
        <f aca="true" t="shared" si="35" ref="C97:O97">C98+C99+C101+C102+C100</f>
        <v>22471075</v>
      </c>
      <c r="D97" s="232">
        <f t="shared" si="35"/>
        <v>21272345</v>
      </c>
      <c r="E97" s="232">
        <f t="shared" si="35"/>
        <v>11391215</v>
      </c>
      <c r="F97" s="232">
        <f t="shared" si="35"/>
        <v>8527733</v>
      </c>
      <c r="G97" s="232">
        <f t="shared" si="35"/>
        <v>2863482</v>
      </c>
      <c r="H97" s="232">
        <f t="shared" si="35"/>
        <v>794000</v>
      </c>
      <c r="I97" s="232">
        <f t="shared" si="35"/>
        <v>13000</v>
      </c>
      <c r="J97" s="232">
        <f t="shared" si="35"/>
        <v>9074130</v>
      </c>
      <c r="K97" s="232">
        <f t="shared" si="35"/>
        <v>0</v>
      </c>
      <c r="L97" s="232">
        <f t="shared" si="35"/>
        <v>1198730</v>
      </c>
      <c r="M97" s="232">
        <f t="shared" si="35"/>
        <v>1198730</v>
      </c>
      <c r="N97" s="232">
        <f t="shared" si="35"/>
        <v>23730</v>
      </c>
      <c r="O97" s="233">
        <f t="shared" si="35"/>
        <v>0</v>
      </c>
      <c r="P97" s="219"/>
    </row>
    <row r="98" spans="1:16" s="157" customFormat="1" ht="27.75" customHeight="1">
      <c r="A98" s="229">
        <v>85311</v>
      </c>
      <c r="B98" s="213" t="s">
        <v>319</v>
      </c>
      <c r="C98" s="193">
        <f>D98+L98</f>
        <v>444000</v>
      </c>
      <c r="D98" s="194">
        <f>E98+H98+I98+J98+K98</f>
        <v>444000</v>
      </c>
      <c r="E98" s="194">
        <f>F98+G98</f>
        <v>0</v>
      </c>
      <c r="F98" s="194">
        <v>0</v>
      </c>
      <c r="G98" s="195">
        <v>0</v>
      </c>
      <c r="H98" s="195">
        <v>444000</v>
      </c>
      <c r="I98" s="195">
        <v>0</v>
      </c>
      <c r="J98" s="195">
        <v>0</v>
      </c>
      <c r="K98" s="195">
        <v>0</v>
      </c>
      <c r="L98" s="195">
        <f>M98+O98</f>
        <v>0</v>
      </c>
      <c r="M98" s="195">
        <v>0</v>
      </c>
      <c r="N98" s="194">
        <v>0</v>
      </c>
      <c r="O98" s="196">
        <v>0</v>
      </c>
      <c r="P98" s="169"/>
    </row>
    <row r="99" spans="1:16" s="157" customFormat="1" ht="27.75" customHeight="1">
      <c r="A99" s="229">
        <v>85324</v>
      </c>
      <c r="B99" s="213" t="s">
        <v>119</v>
      </c>
      <c r="C99" s="193">
        <f>D99+L99</f>
        <v>2155251</v>
      </c>
      <c r="D99" s="194">
        <f>E99+H99+I99+J99+K99</f>
        <v>1155251</v>
      </c>
      <c r="E99" s="194">
        <f>F99+G99</f>
        <v>1155251</v>
      </c>
      <c r="F99" s="194">
        <v>204068</v>
      </c>
      <c r="G99" s="195">
        <f>25000+2000+3000+5000+3000+908183+5000</f>
        <v>951183</v>
      </c>
      <c r="H99" s="195">
        <v>0</v>
      </c>
      <c r="I99" s="195">
        <v>0</v>
      </c>
      <c r="J99" s="195">
        <v>0</v>
      </c>
      <c r="K99" s="195">
        <v>0</v>
      </c>
      <c r="L99" s="195">
        <f>M99+O99</f>
        <v>1000000</v>
      </c>
      <c r="M99" s="195">
        <v>1000000</v>
      </c>
      <c r="N99" s="194">
        <v>0</v>
      </c>
      <c r="O99" s="196">
        <v>0</v>
      </c>
      <c r="P99" s="169"/>
    </row>
    <row r="100" spans="1:16" s="157" customFormat="1" ht="27.75" customHeight="1">
      <c r="A100" s="229">
        <v>85325</v>
      </c>
      <c r="B100" s="213" t="s">
        <v>59</v>
      </c>
      <c r="C100" s="193">
        <f>D100+L100</f>
        <v>1230000</v>
      </c>
      <c r="D100" s="194">
        <f>E100+H100+I100+J100+K100</f>
        <v>1230000</v>
      </c>
      <c r="E100" s="194">
        <f>F100+G100</f>
        <v>1228000</v>
      </c>
      <c r="F100" s="194">
        <v>958000</v>
      </c>
      <c r="G100" s="195">
        <v>270000</v>
      </c>
      <c r="H100" s="195">
        <v>0</v>
      </c>
      <c r="I100" s="195">
        <v>2000</v>
      </c>
      <c r="J100" s="195">
        <v>0</v>
      </c>
      <c r="K100" s="195">
        <v>0</v>
      </c>
      <c r="L100" s="195">
        <f>M100+O100</f>
        <v>0</v>
      </c>
      <c r="M100" s="195">
        <v>0</v>
      </c>
      <c r="N100" s="194">
        <v>0</v>
      </c>
      <c r="O100" s="196">
        <v>0</v>
      </c>
      <c r="P100" s="169"/>
    </row>
    <row r="101" spans="1:16" s="184" customFormat="1" ht="18.75" customHeight="1">
      <c r="A101" s="228">
        <v>85332</v>
      </c>
      <c r="B101" s="178" t="s">
        <v>120</v>
      </c>
      <c r="C101" s="179">
        <f>D101+L101</f>
        <v>15847096</v>
      </c>
      <c r="D101" s="180">
        <f>E101+H101+I101+J101+K101</f>
        <v>15648366</v>
      </c>
      <c r="E101" s="180">
        <f>F101+G101</f>
        <v>8894964</v>
      </c>
      <c r="F101" s="180">
        <v>7360665</v>
      </c>
      <c r="G101" s="181">
        <f>48000+36500+2000+234600+85200+3000+348340+51225+433000+14000+3000+10000+197139+26900+35395+6000</f>
        <v>1534299</v>
      </c>
      <c r="H101" s="181">
        <v>0</v>
      </c>
      <c r="I101" s="181">
        <v>11000</v>
      </c>
      <c r="J101" s="181">
        <f>1876000+2536+464+2796737+510581+210001+38457+496881+90854+73666+13451+17742+3258+57075+10452+4566+834+82936+15064+5068+912+2961+539+199459+36115+42376+7684+73633+13367+6537+1196+4910+890+38217+6983</f>
        <v>6742402</v>
      </c>
      <c r="K101" s="181">
        <v>0</v>
      </c>
      <c r="L101" s="181">
        <f>M101+O101</f>
        <v>198730</v>
      </c>
      <c r="M101" s="181">
        <v>198730</v>
      </c>
      <c r="N101" s="180">
        <f>20000+3730</f>
        <v>23730</v>
      </c>
      <c r="O101" s="182">
        <v>0</v>
      </c>
      <c r="P101" s="183"/>
    </row>
    <row r="102" spans="1:16" s="184" customFormat="1" ht="18.75" customHeight="1" thickBot="1">
      <c r="A102" s="228">
        <v>85395</v>
      </c>
      <c r="B102" s="178" t="s">
        <v>130</v>
      </c>
      <c r="C102" s="179">
        <f>D102+L102</f>
        <v>2794728</v>
      </c>
      <c r="D102" s="181">
        <f>E102+H102+I102+J102+K102</f>
        <v>2794728</v>
      </c>
      <c r="E102" s="181">
        <f>F102+G102</f>
        <v>113000</v>
      </c>
      <c r="F102" s="181">
        <v>5000</v>
      </c>
      <c r="G102" s="181">
        <f>10000+6200+6000+85800</f>
        <v>108000</v>
      </c>
      <c r="H102" s="181">
        <v>350000</v>
      </c>
      <c r="I102" s="181">
        <v>0</v>
      </c>
      <c r="J102" s="181">
        <v>2331728</v>
      </c>
      <c r="K102" s="181">
        <v>0</v>
      </c>
      <c r="L102" s="181">
        <f>M102+O102</f>
        <v>0</v>
      </c>
      <c r="M102" s="181">
        <v>0</v>
      </c>
      <c r="N102" s="181">
        <v>0</v>
      </c>
      <c r="O102" s="206">
        <v>0</v>
      </c>
      <c r="P102" s="183"/>
    </row>
    <row r="103" spans="1:16" s="220" customFormat="1" ht="30" customHeight="1" thickBot="1">
      <c r="A103" s="231">
        <v>854</v>
      </c>
      <c r="B103" s="215" t="s">
        <v>320</v>
      </c>
      <c r="C103" s="216">
        <f aca="true" t="shared" si="36" ref="C103:O103">C104+C106+C107+C108+C110+C111+C105+C109</f>
        <v>55465159</v>
      </c>
      <c r="D103" s="232">
        <f t="shared" si="36"/>
        <v>32252242</v>
      </c>
      <c r="E103" s="232">
        <f t="shared" si="36"/>
        <v>24919445</v>
      </c>
      <c r="F103" s="232">
        <f t="shared" si="36"/>
        <v>21434593</v>
      </c>
      <c r="G103" s="232">
        <f t="shared" si="36"/>
        <v>3484852</v>
      </c>
      <c r="H103" s="232">
        <f t="shared" si="36"/>
        <v>319000</v>
      </c>
      <c r="I103" s="232">
        <f t="shared" si="36"/>
        <v>59293</v>
      </c>
      <c r="J103" s="232">
        <f t="shared" si="36"/>
        <v>6954504</v>
      </c>
      <c r="K103" s="232">
        <f t="shared" si="36"/>
        <v>0</v>
      </c>
      <c r="L103" s="232">
        <f t="shared" si="36"/>
        <v>23212917</v>
      </c>
      <c r="M103" s="232">
        <f t="shared" si="36"/>
        <v>23212917</v>
      </c>
      <c r="N103" s="232">
        <f t="shared" si="36"/>
        <v>16338077</v>
      </c>
      <c r="O103" s="233">
        <f t="shared" si="36"/>
        <v>0</v>
      </c>
      <c r="P103" s="219"/>
    </row>
    <row r="104" spans="1:16" s="184" customFormat="1" ht="18.75" customHeight="1">
      <c r="A104" s="228">
        <v>85403</v>
      </c>
      <c r="B104" s="178" t="s">
        <v>121</v>
      </c>
      <c r="C104" s="179">
        <f aca="true" t="shared" si="37" ref="C104:C111">D104+L104</f>
        <v>41976033</v>
      </c>
      <c r="D104" s="181">
        <f aca="true" t="shared" si="38" ref="D104:D111">E104+H104+I104+J104+K104</f>
        <v>18763116</v>
      </c>
      <c r="E104" s="181">
        <f aca="true" t="shared" si="39" ref="E104:E111">F104+G104</f>
        <v>17642912</v>
      </c>
      <c r="F104" s="181">
        <v>15075726</v>
      </c>
      <c r="G104" s="181">
        <f>91000+491000+16000+390900+678000+8300+363758+15200+1000+2700+31500+467986+100+1500+242+8000</f>
        <v>2567186</v>
      </c>
      <c r="H104" s="181">
        <v>0</v>
      </c>
      <c r="I104" s="181">
        <v>7800</v>
      </c>
      <c r="J104" s="181">
        <f>541359+95532+34951+6169+99516+17562+14888+2626+1700+300+4004+707+7202+1271+196300+34641+45625+8051</f>
        <v>1112404</v>
      </c>
      <c r="K104" s="181">
        <v>0</v>
      </c>
      <c r="L104" s="181">
        <f aca="true" t="shared" si="40" ref="L104:L111">M104+O104</f>
        <v>23212917</v>
      </c>
      <c r="M104" s="181">
        <v>23212917</v>
      </c>
      <c r="N104" s="181">
        <f>12207144+2154204+1680220+296509</f>
        <v>16338077</v>
      </c>
      <c r="O104" s="206">
        <v>0</v>
      </c>
      <c r="P104" s="183"/>
    </row>
    <row r="105" spans="1:16" s="184" customFormat="1" ht="18.75" customHeight="1">
      <c r="A105" s="228">
        <v>85404</v>
      </c>
      <c r="B105" s="178" t="s">
        <v>144</v>
      </c>
      <c r="C105" s="179">
        <f t="shared" si="37"/>
        <v>1477192</v>
      </c>
      <c r="D105" s="180">
        <f t="shared" si="38"/>
        <v>1477192</v>
      </c>
      <c r="E105" s="180">
        <f t="shared" si="39"/>
        <v>1477192</v>
      </c>
      <c r="F105" s="180">
        <v>1380294</v>
      </c>
      <c r="G105" s="181">
        <v>96898</v>
      </c>
      <c r="H105" s="181">
        <v>0</v>
      </c>
      <c r="I105" s="181">
        <v>0</v>
      </c>
      <c r="J105" s="181">
        <v>0</v>
      </c>
      <c r="K105" s="181">
        <v>0</v>
      </c>
      <c r="L105" s="181">
        <f t="shared" si="40"/>
        <v>0</v>
      </c>
      <c r="M105" s="181">
        <v>0</v>
      </c>
      <c r="N105" s="180">
        <v>0</v>
      </c>
      <c r="O105" s="182">
        <v>0</v>
      </c>
      <c r="P105" s="183"/>
    </row>
    <row r="106" spans="1:16" s="184" customFormat="1" ht="18.75" customHeight="1">
      <c r="A106" s="228">
        <v>85407</v>
      </c>
      <c r="B106" s="178" t="s">
        <v>122</v>
      </c>
      <c r="C106" s="179">
        <f t="shared" si="37"/>
        <v>4019861</v>
      </c>
      <c r="D106" s="180">
        <f t="shared" si="38"/>
        <v>4019861</v>
      </c>
      <c r="E106" s="180">
        <f t="shared" si="39"/>
        <v>4010368</v>
      </c>
      <c r="F106" s="180">
        <v>3856844</v>
      </c>
      <c r="G106" s="181">
        <v>153524</v>
      </c>
      <c r="H106" s="181">
        <v>0</v>
      </c>
      <c r="I106" s="181">
        <v>9493</v>
      </c>
      <c r="J106" s="181">
        <v>0</v>
      </c>
      <c r="K106" s="181">
        <v>0</v>
      </c>
      <c r="L106" s="181">
        <f t="shared" si="40"/>
        <v>0</v>
      </c>
      <c r="M106" s="181">
        <v>0</v>
      </c>
      <c r="N106" s="180">
        <v>0</v>
      </c>
      <c r="O106" s="182">
        <v>0</v>
      </c>
      <c r="P106" s="183"/>
    </row>
    <row r="107" spans="1:16" s="184" customFormat="1" ht="18.75" customHeight="1">
      <c r="A107" s="228">
        <v>85410</v>
      </c>
      <c r="B107" s="178" t="s">
        <v>321</v>
      </c>
      <c r="C107" s="179">
        <f t="shared" si="37"/>
        <v>1400141</v>
      </c>
      <c r="D107" s="180">
        <f t="shared" si="38"/>
        <v>1400141</v>
      </c>
      <c r="E107" s="180">
        <f t="shared" si="39"/>
        <v>1398141</v>
      </c>
      <c r="F107" s="180">
        <v>1121729</v>
      </c>
      <c r="G107" s="181">
        <v>276412</v>
      </c>
      <c r="H107" s="181">
        <v>0</v>
      </c>
      <c r="I107" s="181">
        <v>2000</v>
      </c>
      <c r="J107" s="181">
        <v>0</v>
      </c>
      <c r="K107" s="181">
        <v>0</v>
      </c>
      <c r="L107" s="181">
        <f t="shared" si="40"/>
        <v>0</v>
      </c>
      <c r="M107" s="181">
        <v>0</v>
      </c>
      <c r="N107" s="180">
        <v>0</v>
      </c>
      <c r="O107" s="182">
        <v>0</v>
      </c>
      <c r="P107" s="183"/>
    </row>
    <row r="108" spans="1:16" s="157" customFormat="1" ht="27.75" customHeight="1">
      <c r="A108" s="229">
        <v>85415</v>
      </c>
      <c r="B108" s="213" t="s">
        <v>322</v>
      </c>
      <c r="C108" s="193">
        <f t="shared" si="37"/>
        <v>219000</v>
      </c>
      <c r="D108" s="195">
        <f t="shared" si="38"/>
        <v>219000</v>
      </c>
      <c r="E108" s="195">
        <f t="shared" si="39"/>
        <v>0</v>
      </c>
      <c r="F108" s="195">
        <v>0</v>
      </c>
      <c r="G108" s="195">
        <v>0</v>
      </c>
      <c r="H108" s="195">
        <v>219000</v>
      </c>
      <c r="I108" s="195">
        <v>0</v>
      </c>
      <c r="J108" s="195">
        <v>0</v>
      </c>
      <c r="K108" s="195">
        <v>0</v>
      </c>
      <c r="L108" s="195">
        <f t="shared" si="40"/>
        <v>0</v>
      </c>
      <c r="M108" s="195">
        <v>0</v>
      </c>
      <c r="N108" s="194">
        <v>0</v>
      </c>
      <c r="O108" s="196">
        <v>0</v>
      </c>
      <c r="P108" s="169"/>
    </row>
    <row r="109" spans="1:16" s="157" customFormat="1" ht="27.75" customHeight="1">
      <c r="A109" s="229">
        <v>85416</v>
      </c>
      <c r="B109" s="213" t="s">
        <v>323</v>
      </c>
      <c r="C109" s="193">
        <f t="shared" si="37"/>
        <v>5842100</v>
      </c>
      <c r="D109" s="194">
        <f t="shared" si="38"/>
        <v>5842100</v>
      </c>
      <c r="E109" s="194">
        <f t="shared" si="39"/>
        <v>0</v>
      </c>
      <c r="F109" s="194">
        <v>0</v>
      </c>
      <c r="G109" s="195">
        <v>0</v>
      </c>
      <c r="H109" s="195">
        <v>0</v>
      </c>
      <c r="I109" s="195">
        <v>0</v>
      </c>
      <c r="J109" s="195">
        <v>5842100</v>
      </c>
      <c r="K109" s="195">
        <v>0</v>
      </c>
      <c r="L109" s="195">
        <f t="shared" si="40"/>
        <v>0</v>
      </c>
      <c r="M109" s="195">
        <v>0</v>
      </c>
      <c r="N109" s="194">
        <v>0</v>
      </c>
      <c r="O109" s="196">
        <v>0</v>
      </c>
      <c r="P109" s="169"/>
    </row>
    <row r="110" spans="1:16" s="184" customFormat="1" ht="18.75" customHeight="1">
      <c r="A110" s="228">
        <v>85446</v>
      </c>
      <c r="B110" s="178" t="s">
        <v>114</v>
      </c>
      <c r="C110" s="179">
        <f t="shared" si="37"/>
        <v>100000</v>
      </c>
      <c r="D110" s="180">
        <f t="shared" si="38"/>
        <v>100000</v>
      </c>
      <c r="E110" s="180">
        <f t="shared" si="39"/>
        <v>100000</v>
      </c>
      <c r="F110" s="180">
        <v>0</v>
      </c>
      <c r="G110" s="181">
        <v>100000</v>
      </c>
      <c r="H110" s="181">
        <v>0</v>
      </c>
      <c r="I110" s="181">
        <v>0</v>
      </c>
      <c r="J110" s="181">
        <v>0</v>
      </c>
      <c r="K110" s="181">
        <v>0</v>
      </c>
      <c r="L110" s="181">
        <f t="shared" si="40"/>
        <v>0</v>
      </c>
      <c r="M110" s="181">
        <v>0</v>
      </c>
      <c r="N110" s="180">
        <v>0</v>
      </c>
      <c r="O110" s="182">
        <v>0</v>
      </c>
      <c r="P110" s="183"/>
    </row>
    <row r="111" spans="1:16" s="184" customFormat="1" ht="18.75" customHeight="1" thickBot="1">
      <c r="A111" s="228">
        <v>85495</v>
      </c>
      <c r="B111" s="178" t="s">
        <v>130</v>
      </c>
      <c r="C111" s="179">
        <f t="shared" si="37"/>
        <v>430832</v>
      </c>
      <c r="D111" s="180">
        <f t="shared" si="38"/>
        <v>430832</v>
      </c>
      <c r="E111" s="180">
        <f t="shared" si="39"/>
        <v>290832</v>
      </c>
      <c r="F111" s="180">
        <v>0</v>
      </c>
      <c r="G111" s="181">
        <v>290832</v>
      </c>
      <c r="H111" s="181">
        <v>100000</v>
      </c>
      <c r="I111" s="181">
        <v>40000</v>
      </c>
      <c r="J111" s="181">
        <v>0</v>
      </c>
      <c r="K111" s="181">
        <v>0</v>
      </c>
      <c r="L111" s="181">
        <f t="shared" si="40"/>
        <v>0</v>
      </c>
      <c r="M111" s="181">
        <v>0</v>
      </c>
      <c r="N111" s="180">
        <v>0</v>
      </c>
      <c r="O111" s="182">
        <v>0</v>
      </c>
      <c r="P111" s="183"/>
    </row>
    <row r="112" spans="1:16" s="200" customFormat="1" ht="18" customHeight="1" thickBot="1">
      <c r="A112" s="230">
        <v>855</v>
      </c>
      <c r="B112" s="171" t="s">
        <v>164</v>
      </c>
      <c r="C112" s="172">
        <f aca="true" t="shared" si="41" ref="C112:O112">C113</f>
        <v>1761000</v>
      </c>
      <c r="D112" s="197">
        <f t="shared" si="41"/>
        <v>1761000</v>
      </c>
      <c r="E112" s="197">
        <f t="shared" si="41"/>
        <v>1620570</v>
      </c>
      <c r="F112" s="197">
        <f t="shared" si="41"/>
        <v>1430281</v>
      </c>
      <c r="G112" s="197">
        <f t="shared" si="41"/>
        <v>190289</v>
      </c>
      <c r="H112" s="197">
        <f t="shared" si="41"/>
        <v>139430</v>
      </c>
      <c r="I112" s="197">
        <f t="shared" si="41"/>
        <v>1000</v>
      </c>
      <c r="J112" s="197">
        <f t="shared" si="41"/>
        <v>0</v>
      </c>
      <c r="K112" s="197">
        <f t="shared" si="41"/>
        <v>0</v>
      </c>
      <c r="L112" s="197">
        <f t="shared" si="41"/>
        <v>0</v>
      </c>
      <c r="M112" s="197">
        <f t="shared" si="41"/>
        <v>0</v>
      </c>
      <c r="N112" s="197">
        <f>N113</f>
        <v>0</v>
      </c>
      <c r="O112" s="198">
        <f t="shared" si="41"/>
        <v>0</v>
      </c>
      <c r="P112" s="199"/>
    </row>
    <row r="113" spans="1:16" s="184" customFormat="1" ht="18.75" customHeight="1" thickBot="1">
      <c r="A113" s="228">
        <v>85509</v>
      </c>
      <c r="B113" s="178" t="s">
        <v>170</v>
      </c>
      <c r="C113" s="179">
        <f>D113+L113</f>
        <v>1761000</v>
      </c>
      <c r="D113" s="180">
        <f>E113+H113+I113+J113+K113</f>
        <v>1761000</v>
      </c>
      <c r="E113" s="180">
        <f>F113+G113</f>
        <v>1620570</v>
      </c>
      <c r="F113" s="180">
        <v>1430281</v>
      </c>
      <c r="G113" s="181">
        <v>190289</v>
      </c>
      <c r="H113" s="181">
        <v>139430</v>
      </c>
      <c r="I113" s="181">
        <v>1000</v>
      </c>
      <c r="J113" s="181">
        <v>0</v>
      </c>
      <c r="K113" s="181">
        <v>0</v>
      </c>
      <c r="L113" s="181">
        <f>M113+O113</f>
        <v>0</v>
      </c>
      <c r="M113" s="181">
        <v>0</v>
      </c>
      <c r="N113" s="180">
        <v>0</v>
      </c>
      <c r="O113" s="182">
        <v>0</v>
      </c>
      <c r="P113" s="183"/>
    </row>
    <row r="114" spans="1:16" s="220" customFormat="1" ht="30" customHeight="1" thickBot="1">
      <c r="A114" s="231">
        <v>900</v>
      </c>
      <c r="B114" s="215" t="s">
        <v>101</v>
      </c>
      <c r="C114" s="216">
        <f aca="true" t="shared" si="42" ref="C114:O114">C115+C116+C117+C118+C119+C121+C120</f>
        <v>19464671</v>
      </c>
      <c r="D114" s="217">
        <f t="shared" si="42"/>
        <v>5388130</v>
      </c>
      <c r="E114" s="217">
        <f t="shared" si="42"/>
        <v>2081851</v>
      </c>
      <c r="F114" s="217">
        <f t="shared" si="42"/>
        <v>1320581</v>
      </c>
      <c r="G114" s="217">
        <f t="shared" si="42"/>
        <v>761270</v>
      </c>
      <c r="H114" s="217">
        <f t="shared" si="42"/>
        <v>0</v>
      </c>
      <c r="I114" s="217">
        <f t="shared" si="42"/>
        <v>0</v>
      </c>
      <c r="J114" s="217">
        <f t="shared" si="42"/>
        <v>3306279</v>
      </c>
      <c r="K114" s="217">
        <f t="shared" si="42"/>
        <v>0</v>
      </c>
      <c r="L114" s="217">
        <f t="shared" si="42"/>
        <v>14076541</v>
      </c>
      <c r="M114" s="217">
        <f t="shared" si="42"/>
        <v>12576541</v>
      </c>
      <c r="N114" s="217">
        <f t="shared" si="42"/>
        <v>12566541</v>
      </c>
      <c r="O114" s="218">
        <f t="shared" si="42"/>
        <v>1500000</v>
      </c>
      <c r="P114" s="219"/>
    </row>
    <row r="115" spans="1:16" s="184" customFormat="1" ht="18.75" customHeight="1">
      <c r="A115" s="234">
        <v>90005</v>
      </c>
      <c r="B115" s="235" t="s">
        <v>123</v>
      </c>
      <c r="C115" s="236">
        <f aca="true" t="shared" si="43" ref="C115:C121">D115+L115</f>
        <v>147000</v>
      </c>
      <c r="D115" s="237">
        <f aca="true" t="shared" si="44" ref="D115:D121">E115+H115+I115+J115+K115</f>
        <v>137000</v>
      </c>
      <c r="E115" s="237">
        <f aca="true" t="shared" si="45" ref="E115:E121">F115+G115</f>
        <v>137000</v>
      </c>
      <c r="F115" s="237">
        <v>0</v>
      </c>
      <c r="G115" s="238">
        <v>137000</v>
      </c>
      <c r="H115" s="238">
        <v>0</v>
      </c>
      <c r="I115" s="238">
        <v>0</v>
      </c>
      <c r="J115" s="238">
        <v>0</v>
      </c>
      <c r="K115" s="238">
        <v>0</v>
      </c>
      <c r="L115" s="238">
        <f aca="true" t="shared" si="46" ref="L115:L121">M115+O115</f>
        <v>10000</v>
      </c>
      <c r="M115" s="238">
        <v>10000</v>
      </c>
      <c r="N115" s="237">
        <v>0</v>
      </c>
      <c r="O115" s="239">
        <v>0</v>
      </c>
      <c r="P115" s="183"/>
    </row>
    <row r="116" spans="1:16" s="184" customFormat="1" ht="18.75" customHeight="1">
      <c r="A116" s="228">
        <v>90007</v>
      </c>
      <c r="B116" s="178" t="s">
        <v>124</v>
      </c>
      <c r="C116" s="179">
        <f t="shared" si="43"/>
        <v>59000</v>
      </c>
      <c r="D116" s="180">
        <f t="shared" si="44"/>
        <v>59000</v>
      </c>
      <c r="E116" s="180">
        <f t="shared" si="45"/>
        <v>59000</v>
      </c>
      <c r="F116" s="180">
        <v>0</v>
      </c>
      <c r="G116" s="181">
        <v>59000</v>
      </c>
      <c r="H116" s="181">
        <v>0</v>
      </c>
      <c r="I116" s="181">
        <v>0</v>
      </c>
      <c r="J116" s="181">
        <v>0</v>
      </c>
      <c r="K116" s="181">
        <v>0</v>
      </c>
      <c r="L116" s="181">
        <f t="shared" si="46"/>
        <v>0</v>
      </c>
      <c r="M116" s="181">
        <v>0</v>
      </c>
      <c r="N116" s="180">
        <v>0</v>
      </c>
      <c r="O116" s="182">
        <v>0</v>
      </c>
      <c r="P116" s="183"/>
    </row>
    <row r="117" spans="1:16" s="157" customFormat="1" ht="38.25" customHeight="1">
      <c r="A117" s="229">
        <v>90019</v>
      </c>
      <c r="B117" s="213" t="s">
        <v>198</v>
      </c>
      <c r="C117" s="193">
        <f t="shared" si="43"/>
        <v>869873</v>
      </c>
      <c r="D117" s="194">
        <f t="shared" si="44"/>
        <v>869873</v>
      </c>
      <c r="E117" s="194">
        <f t="shared" si="45"/>
        <v>869873</v>
      </c>
      <c r="F117" s="194">
        <v>647253</v>
      </c>
      <c r="G117" s="195">
        <v>222620</v>
      </c>
      <c r="H117" s="195">
        <v>0</v>
      </c>
      <c r="I117" s="195">
        <v>0</v>
      </c>
      <c r="J117" s="195">
        <v>0</v>
      </c>
      <c r="K117" s="195">
        <v>0</v>
      </c>
      <c r="L117" s="195">
        <f t="shared" si="46"/>
        <v>0</v>
      </c>
      <c r="M117" s="195">
        <v>0</v>
      </c>
      <c r="N117" s="194">
        <v>0</v>
      </c>
      <c r="O117" s="196">
        <v>0</v>
      </c>
      <c r="P117" s="169"/>
    </row>
    <row r="118" spans="1:16" s="157" customFormat="1" ht="27.75" customHeight="1">
      <c r="A118" s="240">
        <v>90020</v>
      </c>
      <c r="B118" s="213" t="s">
        <v>125</v>
      </c>
      <c r="C118" s="193">
        <f t="shared" si="43"/>
        <v>6200</v>
      </c>
      <c r="D118" s="195">
        <f t="shared" si="44"/>
        <v>6200</v>
      </c>
      <c r="E118" s="195">
        <f t="shared" si="45"/>
        <v>6200</v>
      </c>
      <c r="F118" s="195">
        <v>0</v>
      </c>
      <c r="G118" s="195">
        <v>6200</v>
      </c>
      <c r="H118" s="195">
        <v>0</v>
      </c>
      <c r="I118" s="195">
        <v>0</v>
      </c>
      <c r="J118" s="195">
        <v>0</v>
      </c>
      <c r="K118" s="195">
        <v>0</v>
      </c>
      <c r="L118" s="195">
        <f t="shared" si="46"/>
        <v>0</v>
      </c>
      <c r="M118" s="195">
        <v>0</v>
      </c>
      <c r="N118" s="195">
        <v>0</v>
      </c>
      <c r="O118" s="221">
        <v>0</v>
      </c>
      <c r="P118" s="169"/>
    </row>
    <row r="119" spans="1:16" s="157" customFormat="1" ht="27.75" customHeight="1">
      <c r="A119" s="240">
        <v>90024</v>
      </c>
      <c r="B119" s="213" t="s">
        <v>324</v>
      </c>
      <c r="C119" s="193">
        <f t="shared" si="43"/>
        <v>2000</v>
      </c>
      <c r="D119" s="195">
        <f t="shared" si="44"/>
        <v>2000</v>
      </c>
      <c r="E119" s="195">
        <f t="shared" si="45"/>
        <v>2000</v>
      </c>
      <c r="F119" s="195">
        <v>0</v>
      </c>
      <c r="G119" s="195">
        <v>2000</v>
      </c>
      <c r="H119" s="195">
        <v>0</v>
      </c>
      <c r="I119" s="195">
        <v>0</v>
      </c>
      <c r="J119" s="195">
        <v>0</v>
      </c>
      <c r="K119" s="195">
        <v>0</v>
      </c>
      <c r="L119" s="195">
        <f t="shared" si="46"/>
        <v>0</v>
      </c>
      <c r="M119" s="195">
        <v>0</v>
      </c>
      <c r="N119" s="195">
        <v>0</v>
      </c>
      <c r="O119" s="221">
        <v>0</v>
      </c>
      <c r="P119" s="169"/>
    </row>
    <row r="120" spans="1:16" s="157" customFormat="1" ht="27.75" customHeight="1">
      <c r="A120" s="240">
        <v>90026</v>
      </c>
      <c r="B120" s="213" t="s">
        <v>212</v>
      </c>
      <c r="C120" s="193">
        <f t="shared" si="43"/>
        <v>5490458</v>
      </c>
      <c r="D120" s="195">
        <f t="shared" si="44"/>
        <v>1548917</v>
      </c>
      <c r="E120" s="195">
        <f t="shared" si="45"/>
        <v>100</v>
      </c>
      <c r="F120" s="195">
        <v>0</v>
      </c>
      <c r="G120" s="195">
        <f>100</f>
        <v>100</v>
      </c>
      <c r="H120" s="195">
        <v>0</v>
      </c>
      <c r="I120" s="195">
        <v>0</v>
      </c>
      <c r="J120" s="195">
        <v>1548817</v>
      </c>
      <c r="K120" s="195">
        <v>0</v>
      </c>
      <c r="L120" s="195">
        <f t="shared" si="46"/>
        <v>3941541</v>
      </c>
      <c r="M120" s="195">
        <v>3941541</v>
      </c>
      <c r="N120" s="195">
        <v>3941541</v>
      </c>
      <c r="O120" s="221">
        <v>0</v>
      </c>
      <c r="P120" s="169"/>
    </row>
    <row r="121" spans="1:16" s="184" customFormat="1" ht="18.75" customHeight="1" thickBot="1">
      <c r="A121" s="241">
        <v>90095</v>
      </c>
      <c r="B121" s="178" t="s">
        <v>130</v>
      </c>
      <c r="C121" s="179">
        <f t="shared" si="43"/>
        <v>12890140</v>
      </c>
      <c r="D121" s="180">
        <f t="shared" si="44"/>
        <v>2765140</v>
      </c>
      <c r="E121" s="180">
        <f t="shared" si="45"/>
        <v>1007678</v>
      </c>
      <c r="F121" s="180">
        <v>673328</v>
      </c>
      <c r="G121" s="181">
        <f>10000+10350+201000+93000+20000</f>
        <v>334350</v>
      </c>
      <c r="H121" s="181">
        <v>0</v>
      </c>
      <c r="I121" s="181">
        <v>0</v>
      </c>
      <c r="J121" s="181">
        <f>21938+26812+2925+3575+2825+3575+1463+1787+196650+91322+256466+18900+4502+23895+46102+16472+59255+5715+2348+7399+11520+25500+18580+9000+11000+2475+22192+6941+3375+4125+288258+69563+364591+3150+3850+4250+750+4500+5500+22950+850+28200+34609+6107+225+425+350+4770+5830+100</f>
        <v>1757462</v>
      </c>
      <c r="K121" s="181">
        <v>0</v>
      </c>
      <c r="L121" s="181">
        <f t="shared" si="46"/>
        <v>10125000</v>
      </c>
      <c r="M121" s="181">
        <f>4312500+4312500</f>
        <v>8625000</v>
      </c>
      <c r="N121" s="180">
        <v>8625000</v>
      </c>
      <c r="O121" s="182">
        <v>1500000</v>
      </c>
      <c r="P121" s="183"/>
    </row>
    <row r="122" spans="1:16" s="220" customFormat="1" ht="30" customHeight="1" thickBot="1">
      <c r="A122" s="242">
        <v>921</v>
      </c>
      <c r="B122" s="215" t="s">
        <v>103</v>
      </c>
      <c r="C122" s="216">
        <f aca="true" t="shared" si="47" ref="C122:O122">C124+C125+C126+C127+C128+C129+C130+C132+C131+C123</f>
        <v>107995408</v>
      </c>
      <c r="D122" s="217">
        <f t="shared" si="47"/>
        <v>85477409</v>
      </c>
      <c r="E122" s="217">
        <f t="shared" si="47"/>
        <v>2403563</v>
      </c>
      <c r="F122" s="217">
        <f t="shared" si="47"/>
        <v>65000</v>
      </c>
      <c r="G122" s="217">
        <f t="shared" si="47"/>
        <v>2338563</v>
      </c>
      <c r="H122" s="217">
        <f t="shared" si="47"/>
        <v>81934935</v>
      </c>
      <c r="I122" s="217">
        <f t="shared" si="47"/>
        <v>330000</v>
      </c>
      <c r="J122" s="217">
        <f t="shared" si="47"/>
        <v>808911</v>
      </c>
      <c r="K122" s="217">
        <f t="shared" si="47"/>
        <v>0</v>
      </c>
      <c r="L122" s="217">
        <f t="shared" si="47"/>
        <v>22517999</v>
      </c>
      <c r="M122" s="217">
        <f t="shared" si="47"/>
        <v>22517999</v>
      </c>
      <c r="N122" s="217">
        <f t="shared" si="47"/>
        <v>13081259</v>
      </c>
      <c r="O122" s="218">
        <f t="shared" si="47"/>
        <v>0</v>
      </c>
      <c r="P122" s="219"/>
    </row>
    <row r="123" spans="1:16" s="184" customFormat="1" ht="18.75" customHeight="1">
      <c r="A123" s="241">
        <v>92105</v>
      </c>
      <c r="B123" s="178" t="s">
        <v>214</v>
      </c>
      <c r="C123" s="179">
        <f aca="true" t="shared" si="48" ref="C123:C132">D123+L123</f>
        <v>1000000</v>
      </c>
      <c r="D123" s="180">
        <f aca="true" t="shared" si="49" ref="D123:D132">E123+H123+I123+J123+K123</f>
        <v>0</v>
      </c>
      <c r="E123" s="180">
        <f aca="true" t="shared" si="50" ref="E123:E132">F123+G123</f>
        <v>0</v>
      </c>
      <c r="F123" s="180">
        <v>0</v>
      </c>
      <c r="G123" s="181">
        <v>0</v>
      </c>
      <c r="H123" s="181">
        <v>0</v>
      </c>
      <c r="I123" s="181">
        <v>0</v>
      </c>
      <c r="J123" s="181">
        <v>0</v>
      </c>
      <c r="K123" s="181">
        <v>0</v>
      </c>
      <c r="L123" s="181">
        <f aca="true" t="shared" si="51" ref="L123:L132">M123+O123</f>
        <v>1000000</v>
      </c>
      <c r="M123" s="181">
        <v>1000000</v>
      </c>
      <c r="N123" s="180">
        <v>0</v>
      </c>
      <c r="O123" s="182">
        <v>0</v>
      </c>
      <c r="P123" s="183"/>
    </row>
    <row r="124" spans="1:16" s="184" customFormat="1" ht="18.75" customHeight="1">
      <c r="A124" s="241">
        <v>92106</v>
      </c>
      <c r="B124" s="178" t="s">
        <v>325</v>
      </c>
      <c r="C124" s="179">
        <f t="shared" si="48"/>
        <v>28192598</v>
      </c>
      <c r="D124" s="180">
        <f t="shared" si="49"/>
        <v>26907300</v>
      </c>
      <c r="E124" s="180">
        <f t="shared" si="50"/>
        <v>0</v>
      </c>
      <c r="F124" s="180">
        <v>0</v>
      </c>
      <c r="G124" s="181">
        <v>0</v>
      </c>
      <c r="H124" s="181">
        <v>26907300</v>
      </c>
      <c r="I124" s="181">
        <v>0</v>
      </c>
      <c r="J124" s="181">
        <v>0</v>
      </c>
      <c r="K124" s="181">
        <v>0</v>
      </c>
      <c r="L124" s="181">
        <f t="shared" si="51"/>
        <v>1285298</v>
      </c>
      <c r="M124" s="181">
        <v>1285298</v>
      </c>
      <c r="N124" s="180">
        <v>0</v>
      </c>
      <c r="O124" s="182">
        <v>0</v>
      </c>
      <c r="P124" s="183"/>
    </row>
    <row r="125" spans="1:16" s="184" customFormat="1" ht="18.75" customHeight="1">
      <c r="A125" s="241">
        <v>92108</v>
      </c>
      <c r="B125" s="178" t="s">
        <v>326</v>
      </c>
      <c r="C125" s="179">
        <f t="shared" si="48"/>
        <v>12668216</v>
      </c>
      <c r="D125" s="181">
        <f t="shared" si="49"/>
        <v>8785464</v>
      </c>
      <c r="E125" s="181">
        <f t="shared" si="50"/>
        <v>0</v>
      </c>
      <c r="F125" s="181">
        <v>0</v>
      </c>
      <c r="G125" s="181">
        <v>0</v>
      </c>
      <c r="H125" s="181">
        <v>8785464</v>
      </c>
      <c r="I125" s="181">
        <v>0</v>
      </c>
      <c r="J125" s="181">
        <v>0</v>
      </c>
      <c r="K125" s="181">
        <v>0</v>
      </c>
      <c r="L125" s="181">
        <f t="shared" si="51"/>
        <v>3882752</v>
      </c>
      <c r="M125" s="181">
        <v>3882752</v>
      </c>
      <c r="N125" s="181">
        <v>0</v>
      </c>
      <c r="O125" s="206">
        <v>0</v>
      </c>
      <c r="P125" s="183"/>
    </row>
    <row r="126" spans="1:16" s="184" customFormat="1" ht="18.75" customHeight="1">
      <c r="A126" s="241">
        <v>92109</v>
      </c>
      <c r="B126" s="178" t="s">
        <v>126</v>
      </c>
      <c r="C126" s="179">
        <f t="shared" si="48"/>
        <v>6731661</v>
      </c>
      <c r="D126" s="180">
        <f t="shared" si="49"/>
        <v>6671661</v>
      </c>
      <c r="E126" s="180">
        <f t="shared" si="50"/>
        <v>0</v>
      </c>
      <c r="F126" s="180">
        <v>0</v>
      </c>
      <c r="G126" s="181">
        <v>0</v>
      </c>
      <c r="H126" s="181">
        <v>6671661</v>
      </c>
      <c r="I126" s="181">
        <v>0</v>
      </c>
      <c r="J126" s="181">
        <v>0</v>
      </c>
      <c r="K126" s="181">
        <v>0</v>
      </c>
      <c r="L126" s="181">
        <f t="shared" si="51"/>
        <v>60000</v>
      </c>
      <c r="M126" s="181">
        <v>60000</v>
      </c>
      <c r="N126" s="180">
        <v>0</v>
      </c>
      <c r="O126" s="182">
        <v>0</v>
      </c>
      <c r="P126" s="183"/>
    </row>
    <row r="127" spans="1:16" s="184" customFormat="1" ht="18.75" customHeight="1">
      <c r="A127" s="241">
        <v>92110</v>
      </c>
      <c r="B127" s="178" t="s">
        <v>327</v>
      </c>
      <c r="C127" s="179">
        <f t="shared" si="48"/>
        <v>2350220</v>
      </c>
      <c r="D127" s="181">
        <f t="shared" si="49"/>
        <v>2350220</v>
      </c>
      <c r="E127" s="181">
        <f t="shared" si="50"/>
        <v>0</v>
      </c>
      <c r="F127" s="181">
        <v>0</v>
      </c>
      <c r="G127" s="181">
        <v>0</v>
      </c>
      <c r="H127" s="181">
        <v>2350220</v>
      </c>
      <c r="I127" s="181">
        <v>0</v>
      </c>
      <c r="J127" s="181">
        <v>0</v>
      </c>
      <c r="K127" s="181">
        <v>0</v>
      </c>
      <c r="L127" s="181">
        <f t="shared" si="51"/>
        <v>0</v>
      </c>
      <c r="M127" s="181">
        <v>0</v>
      </c>
      <c r="N127" s="181">
        <v>0</v>
      </c>
      <c r="O127" s="206">
        <v>0</v>
      </c>
      <c r="P127" s="183"/>
    </row>
    <row r="128" spans="1:16" s="184" customFormat="1" ht="18.75" customHeight="1">
      <c r="A128" s="241">
        <v>92113</v>
      </c>
      <c r="B128" s="178" t="s">
        <v>328</v>
      </c>
      <c r="C128" s="179">
        <f t="shared" si="48"/>
        <v>1299500</v>
      </c>
      <c r="D128" s="181">
        <f t="shared" si="49"/>
        <v>1299500</v>
      </c>
      <c r="E128" s="181">
        <f t="shared" si="50"/>
        <v>0</v>
      </c>
      <c r="F128" s="181">
        <v>0</v>
      </c>
      <c r="G128" s="181">
        <v>0</v>
      </c>
      <c r="H128" s="181">
        <v>1299500</v>
      </c>
      <c r="I128" s="181">
        <v>0</v>
      </c>
      <c r="J128" s="181">
        <v>0</v>
      </c>
      <c r="K128" s="181">
        <v>0</v>
      </c>
      <c r="L128" s="181">
        <f t="shared" si="51"/>
        <v>0</v>
      </c>
      <c r="M128" s="181">
        <v>0</v>
      </c>
      <c r="N128" s="181">
        <v>0</v>
      </c>
      <c r="O128" s="206">
        <v>0</v>
      </c>
      <c r="P128" s="183"/>
    </row>
    <row r="129" spans="1:16" s="184" customFormat="1" ht="18.75" customHeight="1">
      <c r="A129" s="241">
        <v>92116</v>
      </c>
      <c r="B129" s="178" t="s">
        <v>127</v>
      </c>
      <c r="C129" s="179">
        <f t="shared" si="48"/>
        <v>19145790</v>
      </c>
      <c r="D129" s="180">
        <f t="shared" si="49"/>
        <v>19145790</v>
      </c>
      <c r="E129" s="180">
        <f t="shared" si="50"/>
        <v>0</v>
      </c>
      <c r="F129" s="180">
        <v>0</v>
      </c>
      <c r="G129" s="181">
        <v>0</v>
      </c>
      <c r="H129" s="181">
        <v>19145790</v>
      </c>
      <c r="I129" s="181">
        <v>0</v>
      </c>
      <c r="J129" s="181">
        <v>0</v>
      </c>
      <c r="K129" s="181">
        <v>0</v>
      </c>
      <c r="L129" s="181">
        <f t="shared" si="51"/>
        <v>0</v>
      </c>
      <c r="M129" s="181">
        <v>0</v>
      </c>
      <c r="N129" s="180">
        <v>0</v>
      </c>
      <c r="O129" s="182">
        <v>0</v>
      </c>
      <c r="P129" s="183"/>
    </row>
    <row r="130" spans="1:16" s="184" customFormat="1" ht="18.75" customHeight="1">
      <c r="A130" s="241">
        <v>92118</v>
      </c>
      <c r="B130" s="178" t="s">
        <v>329</v>
      </c>
      <c r="C130" s="179">
        <f t="shared" si="48"/>
        <v>13004000</v>
      </c>
      <c r="D130" s="180">
        <f t="shared" si="49"/>
        <v>12904000</v>
      </c>
      <c r="E130" s="180">
        <f t="shared" si="50"/>
        <v>0</v>
      </c>
      <c r="F130" s="180">
        <v>0</v>
      </c>
      <c r="G130" s="181">
        <v>0</v>
      </c>
      <c r="H130" s="181">
        <v>12904000</v>
      </c>
      <c r="I130" s="181">
        <v>0</v>
      </c>
      <c r="J130" s="181">
        <v>0</v>
      </c>
      <c r="K130" s="181">
        <v>0</v>
      </c>
      <c r="L130" s="181">
        <f t="shared" si="51"/>
        <v>100000</v>
      </c>
      <c r="M130" s="181">
        <v>100000</v>
      </c>
      <c r="N130" s="180">
        <v>0</v>
      </c>
      <c r="O130" s="182">
        <v>0</v>
      </c>
      <c r="P130" s="183"/>
    </row>
    <row r="131" spans="1:16" s="184" customFormat="1" ht="18.75" customHeight="1">
      <c r="A131" s="241">
        <v>92120</v>
      </c>
      <c r="B131" s="178" t="s">
        <v>330</v>
      </c>
      <c r="C131" s="179">
        <f t="shared" si="48"/>
        <v>1000000</v>
      </c>
      <c r="D131" s="181">
        <f t="shared" si="49"/>
        <v>1000000</v>
      </c>
      <c r="E131" s="181">
        <f t="shared" si="50"/>
        <v>75000</v>
      </c>
      <c r="F131" s="181">
        <v>19000</v>
      </c>
      <c r="G131" s="181">
        <f>2000+4000+50000</f>
        <v>56000</v>
      </c>
      <c r="H131" s="181">
        <v>925000</v>
      </c>
      <c r="I131" s="181">
        <v>0</v>
      </c>
      <c r="J131" s="181">
        <v>0</v>
      </c>
      <c r="K131" s="181">
        <v>0</v>
      </c>
      <c r="L131" s="181">
        <f t="shared" si="51"/>
        <v>0</v>
      </c>
      <c r="M131" s="181">
        <v>0</v>
      </c>
      <c r="N131" s="181">
        <v>0</v>
      </c>
      <c r="O131" s="206">
        <v>0</v>
      </c>
      <c r="P131" s="183"/>
    </row>
    <row r="132" spans="1:16" s="184" customFormat="1" ht="18.75" customHeight="1" thickBot="1">
      <c r="A132" s="241">
        <v>92195</v>
      </c>
      <c r="B132" s="178" t="s">
        <v>130</v>
      </c>
      <c r="C132" s="179">
        <f t="shared" si="48"/>
        <v>22603423</v>
      </c>
      <c r="D132" s="180">
        <f t="shared" si="49"/>
        <v>6413474</v>
      </c>
      <c r="E132" s="180">
        <f t="shared" si="50"/>
        <v>2328563</v>
      </c>
      <c r="F132" s="180">
        <v>46000</v>
      </c>
      <c r="G132" s="181">
        <f>71000+13500+2198063</f>
        <v>2282563</v>
      </c>
      <c r="H132" s="181">
        <v>2946000</v>
      </c>
      <c r="I132" s="181">
        <v>330000</v>
      </c>
      <c r="J132" s="181">
        <f>19720+66743+15258+7341+1296+4420+12735+3027+680+1815+440+5100+900+56547+3400+10579+1020+180+294900+129386+74875+5383+950+42500+7500+1700+300+33758+5958+425+75</f>
        <v>808911</v>
      </c>
      <c r="K132" s="181">
        <v>0</v>
      </c>
      <c r="L132" s="181">
        <f t="shared" si="51"/>
        <v>16189949</v>
      </c>
      <c r="M132" s="181">
        <v>16189949</v>
      </c>
      <c r="N132" s="180">
        <f>11119070+1962189</f>
        <v>13081259</v>
      </c>
      <c r="O132" s="182">
        <v>0</v>
      </c>
      <c r="P132" s="183"/>
    </row>
    <row r="133" spans="1:16" s="220" customFormat="1" ht="60.75" customHeight="1" thickBot="1">
      <c r="A133" s="242">
        <v>925</v>
      </c>
      <c r="B133" s="215" t="s">
        <v>104</v>
      </c>
      <c r="C133" s="216">
        <f aca="true" t="shared" si="52" ref="C133:O133">C134</f>
        <v>13217864</v>
      </c>
      <c r="D133" s="217">
        <f t="shared" si="52"/>
        <v>6433227</v>
      </c>
      <c r="E133" s="217">
        <f t="shared" si="52"/>
        <v>5920055</v>
      </c>
      <c r="F133" s="217">
        <f t="shared" si="52"/>
        <v>3538044</v>
      </c>
      <c r="G133" s="217">
        <f t="shared" si="52"/>
        <v>2382011</v>
      </c>
      <c r="H133" s="217">
        <f t="shared" si="52"/>
        <v>0</v>
      </c>
      <c r="I133" s="217">
        <f t="shared" si="52"/>
        <v>96000</v>
      </c>
      <c r="J133" s="217">
        <f t="shared" si="52"/>
        <v>417172</v>
      </c>
      <c r="K133" s="217">
        <f t="shared" si="52"/>
        <v>0</v>
      </c>
      <c r="L133" s="217">
        <f t="shared" si="52"/>
        <v>6784637</v>
      </c>
      <c r="M133" s="217">
        <f t="shared" si="52"/>
        <v>6784637</v>
      </c>
      <c r="N133" s="217">
        <f>N134</f>
        <v>6779853</v>
      </c>
      <c r="O133" s="218">
        <f t="shared" si="52"/>
        <v>0</v>
      </c>
      <c r="P133" s="219"/>
    </row>
    <row r="134" spans="1:16" s="184" customFormat="1" ht="18.75" customHeight="1" thickBot="1">
      <c r="A134" s="241">
        <v>92502</v>
      </c>
      <c r="B134" s="178" t="s">
        <v>128</v>
      </c>
      <c r="C134" s="179">
        <f>D134+L134</f>
        <v>13217864</v>
      </c>
      <c r="D134" s="180">
        <f>E134+H134+I134+J134+K134</f>
        <v>6433227</v>
      </c>
      <c r="E134" s="180">
        <f>F134+G134</f>
        <v>5920055</v>
      </c>
      <c r="F134" s="180">
        <v>3538044</v>
      </c>
      <c r="G134" s="181">
        <f>225280+1000+121500+56186+2300+1707996+43800+2500+45172+4850+66904+70954+22817+1000+1502+500+7750</f>
        <v>2382011</v>
      </c>
      <c r="H134" s="181">
        <v>0</v>
      </c>
      <c r="I134" s="181">
        <v>96000</v>
      </c>
      <c r="J134" s="181">
        <f>13206+16371+2388+2961+330+408+5100+900+3126+3875+298406+70101</f>
        <v>417172</v>
      </c>
      <c r="K134" s="181">
        <v>0</v>
      </c>
      <c r="L134" s="181">
        <f>M134+O134</f>
        <v>6784637</v>
      </c>
      <c r="M134" s="181">
        <v>6784637</v>
      </c>
      <c r="N134" s="180">
        <f>5775843+1004010</f>
        <v>6779853</v>
      </c>
      <c r="O134" s="182">
        <v>0</v>
      </c>
      <c r="P134" s="183"/>
    </row>
    <row r="135" spans="1:16" s="200" customFormat="1" ht="18" customHeight="1" thickBot="1">
      <c r="A135" s="243">
        <v>926</v>
      </c>
      <c r="B135" s="171" t="s">
        <v>331</v>
      </c>
      <c r="C135" s="172">
        <f aca="true" t="shared" si="53" ref="C135:O135">C136</f>
        <v>6720000</v>
      </c>
      <c r="D135" s="197">
        <f t="shared" si="53"/>
        <v>4720000</v>
      </c>
      <c r="E135" s="197">
        <f t="shared" si="53"/>
        <v>250000</v>
      </c>
      <c r="F135" s="197">
        <f t="shared" si="53"/>
        <v>3000</v>
      </c>
      <c r="G135" s="197">
        <f t="shared" si="53"/>
        <v>247000</v>
      </c>
      <c r="H135" s="197">
        <f t="shared" si="53"/>
        <v>3700000</v>
      </c>
      <c r="I135" s="197">
        <f t="shared" si="53"/>
        <v>770000</v>
      </c>
      <c r="J135" s="197">
        <f t="shared" si="53"/>
        <v>0</v>
      </c>
      <c r="K135" s="197">
        <f t="shared" si="53"/>
        <v>0</v>
      </c>
      <c r="L135" s="197">
        <f t="shared" si="53"/>
        <v>2000000</v>
      </c>
      <c r="M135" s="197">
        <f t="shared" si="53"/>
        <v>2000000</v>
      </c>
      <c r="N135" s="197">
        <f>N136</f>
        <v>0</v>
      </c>
      <c r="O135" s="198">
        <f t="shared" si="53"/>
        <v>0</v>
      </c>
      <c r="P135" s="199"/>
    </row>
    <row r="136" spans="1:16" s="184" customFormat="1" ht="18.75" customHeight="1">
      <c r="A136" s="241">
        <v>92605</v>
      </c>
      <c r="B136" s="178" t="s">
        <v>332</v>
      </c>
      <c r="C136" s="179">
        <f>D136+L136</f>
        <v>6720000</v>
      </c>
      <c r="D136" s="181">
        <f>E136+H136+I136+J136+K136</f>
        <v>4720000</v>
      </c>
      <c r="E136" s="181">
        <f>F136+G136</f>
        <v>250000</v>
      </c>
      <c r="F136" s="181">
        <v>3000</v>
      </c>
      <c r="G136" s="181">
        <f>23000+40000+2000+180000+2000</f>
        <v>247000</v>
      </c>
      <c r="H136" s="181">
        <v>3700000</v>
      </c>
      <c r="I136" s="181">
        <v>770000</v>
      </c>
      <c r="J136" s="181">
        <v>0</v>
      </c>
      <c r="K136" s="181">
        <v>0</v>
      </c>
      <c r="L136" s="181">
        <f>M136+O136</f>
        <v>2000000</v>
      </c>
      <c r="M136" s="181">
        <v>2000000</v>
      </c>
      <c r="N136" s="181">
        <v>0</v>
      </c>
      <c r="O136" s="206">
        <v>0</v>
      </c>
      <c r="P136" s="183"/>
    </row>
    <row r="137" spans="1:16" s="157" customFormat="1" ht="6" customHeight="1" thickBot="1">
      <c r="A137" s="244"/>
      <c r="B137" s="245"/>
      <c r="C137" s="246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8"/>
      <c r="P137" s="169"/>
    </row>
    <row r="138" spans="1:16" s="254" customFormat="1" ht="18" customHeight="1" thickBot="1">
      <c r="A138" s="249"/>
      <c r="B138" s="250" t="s">
        <v>238</v>
      </c>
      <c r="C138" s="251">
        <f aca="true" t="shared" si="54" ref="C138:O138">C13</f>
        <v>1126737908</v>
      </c>
      <c r="D138" s="251">
        <f t="shared" si="54"/>
        <v>650633391</v>
      </c>
      <c r="E138" s="251">
        <f t="shared" si="54"/>
        <v>269263390</v>
      </c>
      <c r="F138" s="251">
        <f t="shared" si="54"/>
        <v>141766302</v>
      </c>
      <c r="G138" s="251">
        <f t="shared" si="54"/>
        <v>127497088</v>
      </c>
      <c r="H138" s="251">
        <f t="shared" si="54"/>
        <v>191637132</v>
      </c>
      <c r="I138" s="251">
        <f t="shared" si="54"/>
        <v>2894948</v>
      </c>
      <c r="J138" s="251">
        <f t="shared" si="54"/>
        <v>145316870</v>
      </c>
      <c r="K138" s="251">
        <f t="shared" si="54"/>
        <v>41521051</v>
      </c>
      <c r="L138" s="251">
        <f t="shared" si="54"/>
        <v>476104517</v>
      </c>
      <c r="M138" s="251">
        <f t="shared" si="54"/>
        <v>448922286</v>
      </c>
      <c r="N138" s="251">
        <f>N13</f>
        <v>356977775</v>
      </c>
      <c r="O138" s="252">
        <f t="shared" si="54"/>
        <v>27182231</v>
      </c>
      <c r="P138" s="253"/>
    </row>
    <row r="139" spans="3:16" ht="12.75">
      <c r="C139" s="255"/>
      <c r="D139" s="256"/>
      <c r="E139" s="256"/>
      <c r="F139" s="256"/>
      <c r="G139" s="256"/>
      <c r="H139" s="256"/>
      <c r="I139" s="256"/>
      <c r="J139" s="256"/>
      <c r="K139" s="256"/>
      <c r="L139" s="256"/>
      <c r="M139" s="256"/>
      <c r="N139" s="256"/>
      <c r="O139" s="256"/>
      <c r="P139" s="256"/>
    </row>
    <row r="141" ht="12.75">
      <c r="N141" s="257"/>
    </row>
  </sheetData>
  <sheetProtection password="C25B" sheet="1"/>
  <mergeCells count="18">
    <mergeCell ref="A4:O4"/>
    <mergeCell ref="A5:O5"/>
    <mergeCell ref="A7:A10"/>
    <mergeCell ref="B7:B10"/>
    <mergeCell ref="C7:C10"/>
    <mergeCell ref="D7:O7"/>
    <mergeCell ref="D8:D10"/>
    <mergeCell ref="E8:K8"/>
    <mergeCell ref="L8:L10"/>
    <mergeCell ref="M8:O8"/>
    <mergeCell ref="M9:M10"/>
    <mergeCell ref="O9:O10"/>
    <mergeCell ref="E9:E10"/>
    <mergeCell ref="F9:G9"/>
    <mergeCell ref="H9:H10"/>
    <mergeCell ref="I9:I10"/>
    <mergeCell ref="J9:J10"/>
    <mergeCell ref="K9:K10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93"/>
  <sheetViews>
    <sheetView view="pageBreakPreview" zoomScaleSheetLayoutView="100" zoomScalePageLayoutView="0" workbookViewId="0" topLeftCell="A1">
      <selection activeCell="C21" sqref="C21"/>
    </sheetView>
  </sheetViews>
  <sheetFormatPr defaultColWidth="8.796875" defaultRowHeight="14.25"/>
  <cols>
    <col min="1" max="1" width="9" style="298" customWidth="1"/>
    <col min="2" max="2" width="5.69921875" style="298" customWidth="1"/>
    <col min="3" max="3" width="65.69921875" style="141" customWidth="1"/>
    <col min="4" max="4" width="15.59765625" style="257" customWidth="1"/>
    <col min="5" max="16384" width="9" style="141" customWidth="1"/>
  </cols>
  <sheetData>
    <row r="1" s="258" customFormat="1" ht="12.75">
      <c r="C1" s="259" t="s">
        <v>335</v>
      </c>
    </row>
    <row r="2" s="258" customFormat="1" ht="12.75">
      <c r="C2" s="259" t="s">
        <v>408</v>
      </c>
    </row>
    <row r="3" s="258" customFormat="1" ht="12.75">
      <c r="C3" s="259" t="s">
        <v>409</v>
      </c>
    </row>
    <row r="4" s="258" customFormat="1" ht="12.75"/>
    <row r="5" s="258" customFormat="1" ht="12.75"/>
    <row r="6" spans="1:4" s="260" customFormat="1" ht="15.75">
      <c r="A6" s="941" t="s">
        <v>336</v>
      </c>
      <c r="B6" s="941"/>
      <c r="C6" s="941"/>
      <c r="D6" s="941"/>
    </row>
    <row r="7" spans="1:4" s="260" customFormat="1" ht="15.75">
      <c r="A7" s="941" t="s">
        <v>200</v>
      </c>
      <c r="B7" s="941"/>
      <c r="C7" s="941"/>
      <c r="D7" s="941"/>
    </row>
    <row r="8" s="258" customFormat="1" ht="12.75"/>
    <row r="9" s="258" customFormat="1" ht="12.75">
      <c r="D9" s="258" t="s">
        <v>70</v>
      </c>
    </row>
    <row r="10" spans="1:4" s="264" customFormat="1" ht="39" customHeight="1">
      <c r="A10" s="261" t="s">
        <v>337</v>
      </c>
      <c r="B10" s="262" t="s">
        <v>105</v>
      </c>
      <c r="C10" s="263" t="s">
        <v>72</v>
      </c>
      <c r="D10" s="263" t="s">
        <v>106</v>
      </c>
    </row>
    <row r="11" spans="1:4" s="267" customFormat="1" ht="13.5">
      <c r="A11" s="265">
        <v>1</v>
      </c>
      <c r="B11" s="266">
        <v>2</v>
      </c>
      <c r="C11" s="265">
        <v>3</v>
      </c>
      <c r="D11" s="265">
        <v>4</v>
      </c>
    </row>
    <row r="12" spans="1:4" s="272" customFormat="1" ht="23.25" customHeight="1">
      <c r="A12" s="268"/>
      <c r="B12" s="269"/>
      <c r="C12" s="270" t="s">
        <v>338</v>
      </c>
      <c r="D12" s="271">
        <f>D13+D79+D119+D169+D176+D257+D305+D318+D357+D397+D597+D601+D607+D613+D617+D884+D887+D936+D1022+D1129+D1246+D1266+D1363+D1442+D1482</f>
        <v>1126737908</v>
      </c>
    </row>
    <row r="13" spans="1:4" s="277" customFormat="1" ht="15" customHeight="1">
      <c r="A13" s="273" t="s">
        <v>77</v>
      </c>
      <c r="B13" s="274" t="s">
        <v>145</v>
      </c>
      <c r="C13" s="275" t="s">
        <v>107</v>
      </c>
      <c r="D13" s="276">
        <f>D14+D16+D18+D61+D70</f>
        <v>13478945</v>
      </c>
    </row>
    <row r="14" spans="1:4" s="277" customFormat="1" ht="15" customHeight="1">
      <c r="A14" s="278" t="s">
        <v>239</v>
      </c>
      <c r="B14" s="279" t="s">
        <v>145</v>
      </c>
      <c r="C14" s="280" t="s">
        <v>240</v>
      </c>
      <c r="D14" s="281">
        <f>D15</f>
        <v>1100000</v>
      </c>
    </row>
    <row r="15" spans="1:4" ht="28.5" customHeight="1">
      <c r="A15" s="282" t="s">
        <v>145</v>
      </c>
      <c r="B15" s="283">
        <v>2830</v>
      </c>
      <c r="C15" s="284" t="s">
        <v>339</v>
      </c>
      <c r="D15" s="285">
        <v>1100000</v>
      </c>
    </row>
    <row r="16" spans="1:4" s="277" customFormat="1" ht="15" customHeight="1">
      <c r="A16" s="278" t="s">
        <v>241</v>
      </c>
      <c r="B16" s="279" t="s">
        <v>145</v>
      </c>
      <c r="C16" s="280" t="s">
        <v>242</v>
      </c>
      <c r="D16" s="281">
        <f>D17</f>
        <v>22045</v>
      </c>
    </row>
    <row r="17" spans="1:4" ht="28.5" customHeight="1">
      <c r="A17" s="282" t="s">
        <v>145</v>
      </c>
      <c r="B17" s="283">
        <v>6300</v>
      </c>
      <c r="C17" s="284" t="s">
        <v>340</v>
      </c>
      <c r="D17" s="285">
        <v>22045</v>
      </c>
    </row>
    <row r="18" spans="1:4" s="277" customFormat="1" ht="15" customHeight="1">
      <c r="A18" s="278" t="s">
        <v>129</v>
      </c>
      <c r="B18" s="279" t="s">
        <v>145</v>
      </c>
      <c r="C18" s="280" t="s">
        <v>156</v>
      </c>
      <c r="D18" s="281">
        <f>SUM(D19:D60)</f>
        <v>5510500</v>
      </c>
    </row>
    <row r="19" spans="1:4" ht="42.75" customHeight="1">
      <c r="A19" s="282" t="s">
        <v>145</v>
      </c>
      <c r="B19" s="283">
        <v>2008</v>
      </c>
      <c r="C19" s="284" t="s">
        <v>341</v>
      </c>
      <c r="D19" s="285">
        <v>305370</v>
      </c>
    </row>
    <row r="20" spans="1:4" ht="42" customHeight="1">
      <c r="A20" s="282" t="s">
        <v>145</v>
      </c>
      <c r="B20" s="283">
        <v>2009</v>
      </c>
      <c r="C20" s="284" t="s">
        <v>341</v>
      </c>
      <c r="D20" s="285">
        <v>174630</v>
      </c>
    </row>
    <row r="21" spans="1:4" ht="42" customHeight="1">
      <c r="A21" s="282" t="s">
        <v>145</v>
      </c>
      <c r="B21" s="283">
        <v>2058</v>
      </c>
      <c r="C21" s="284" t="s">
        <v>176</v>
      </c>
      <c r="D21" s="285">
        <v>63630</v>
      </c>
    </row>
    <row r="22" spans="1:4" ht="41.25" customHeight="1">
      <c r="A22" s="282" t="s">
        <v>145</v>
      </c>
      <c r="B22" s="283">
        <v>2059</v>
      </c>
      <c r="C22" s="284" t="s">
        <v>176</v>
      </c>
      <c r="D22" s="285">
        <v>36370</v>
      </c>
    </row>
    <row r="23" spans="1:4" ht="40.5" customHeight="1">
      <c r="A23" s="282" t="s">
        <v>145</v>
      </c>
      <c r="B23" s="283">
        <v>2910</v>
      </c>
      <c r="C23" s="284" t="s">
        <v>342</v>
      </c>
      <c r="D23" s="285">
        <v>8000</v>
      </c>
    </row>
    <row r="24" spans="1:4" ht="15" customHeight="1">
      <c r="A24" s="282" t="s">
        <v>145</v>
      </c>
      <c r="B24" s="283">
        <v>4018</v>
      </c>
      <c r="C24" s="284" t="s">
        <v>343</v>
      </c>
      <c r="D24" s="285">
        <v>1861459</v>
      </c>
    </row>
    <row r="25" spans="1:4" ht="15" customHeight="1">
      <c r="A25" s="282" t="s">
        <v>145</v>
      </c>
      <c r="B25" s="283">
        <v>4019</v>
      </c>
      <c r="C25" s="284" t="s">
        <v>343</v>
      </c>
      <c r="D25" s="285">
        <v>1063984</v>
      </c>
    </row>
    <row r="26" spans="1:4" ht="15" customHeight="1">
      <c r="A26" s="282" t="s">
        <v>145</v>
      </c>
      <c r="B26" s="283">
        <v>4048</v>
      </c>
      <c r="C26" s="284" t="s">
        <v>344</v>
      </c>
      <c r="D26" s="285">
        <v>155893</v>
      </c>
    </row>
    <row r="27" spans="1:4" ht="15" customHeight="1">
      <c r="A27" s="282" t="s">
        <v>145</v>
      </c>
      <c r="B27" s="283">
        <v>4049</v>
      </c>
      <c r="C27" s="284" t="s">
        <v>344</v>
      </c>
      <c r="D27" s="285">
        <v>89107</v>
      </c>
    </row>
    <row r="28" spans="1:4" ht="15" customHeight="1">
      <c r="A28" s="282" t="s">
        <v>145</v>
      </c>
      <c r="B28" s="283">
        <v>4118</v>
      </c>
      <c r="C28" s="284" t="s">
        <v>345</v>
      </c>
      <c r="D28" s="285">
        <v>348937</v>
      </c>
    </row>
    <row r="29" spans="1:4" ht="15" customHeight="1">
      <c r="A29" s="282" t="s">
        <v>145</v>
      </c>
      <c r="B29" s="283">
        <v>4119</v>
      </c>
      <c r="C29" s="284" t="s">
        <v>345</v>
      </c>
      <c r="D29" s="285">
        <v>199447</v>
      </c>
    </row>
    <row r="30" spans="1:4" ht="15" customHeight="1">
      <c r="A30" s="282" t="s">
        <v>145</v>
      </c>
      <c r="B30" s="283">
        <v>4128</v>
      </c>
      <c r="C30" s="284" t="s">
        <v>346</v>
      </c>
      <c r="D30" s="285">
        <v>47769</v>
      </c>
    </row>
    <row r="31" spans="1:4" ht="15" customHeight="1">
      <c r="A31" s="282" t="s">
        <v>145</v>
      </c>
      <c r="B31" s="283">
        <v>4129</v>
      </c>
      <c r="C31" s="284" t="s">
        <v>346</v>
      </c>
      <c r="D31" s="285">
        <v>27304</v>
      </c>
    </row>
    <row r="32" spans="1:4" ht="15" customHeight="1">
      <c r="A32" s="282" t="s">
        <v>145</v>
      </c>
      <c r="B32" s="283">
        <v>4178</v>
      </c>
      <c r="C32" s="284" t="s">
        <v>347</v>
      </c>
      <c r="D32" s="285">
        <v>17817</v>
      </c>
    </row>
    <row r="33" spans="1:4" ht="15" customHeight="1">
      <c r="A33" s="282" t="s">
        <v>145</v>
      </c>
      <c r="B33" s="283">
        <v>4179</v>
      </c>
      <c r="C33" s="284" t="s">
        <v>347</v>
      </c>
      <c r="D33" s="285">
        <v>10183</v>
      </c>
    </row>
    <row r="34" spans="1:4" ht="15" customHeight="1">
      <c r="A34" s="282" t="s">
        <v>145</v>
      </c>
      <c r="B34" s="283">
        <v>4198</v>
      </c>
      <c r="C34" s="284" t="s">
        <v>348</v>
      </c>
      <c r="D34" s="285">
        <v>636</v>
      </c>
    </row>
    <row r="35" spans="1:4" ht="15" customHeight="1">
      <c r="A35" s="282" t="s">
        <v>145</v>
      </c>
      <c r="B35" s="283">
        <v>4199</v>
      </c>
      <c r="C35" s="284" t="s">
        <v>348</v>
      </c>
      <c r="D35" s="285">
        <v>364</v>
      </c>
    </row>
    <row r="36" spans="1:4" ht="15" customHeight="1">
      <c r="A36" s="282" t="s">
        <v>145</v>
      </c>
      <c r="B36" s="283">
        <v>4218</v>
      </c>
      <c r="C36" s="284" t="s">
        <v>349</v>
      </c>
      <c r="D36" s="285">
        <v>35632</v>
      </c>
    </row>
    <row r="37" spans="1:4" ht="15" customHeight="1">
      <c r="A37" s="282" t="s">
        <v>145</v>
      </c>
      <c r="B37" s="283">
        <v>4219</v>
      </c>
      <c r="C37" s="284" t="s">
        <v>349</v>
      </c>
      <c r="D37" s="285">
        <v>20368</v>
      </c>
    </row>
    <row r="38" spans="1:4" ht="15" customHeight="1">
      <c r="A38" s="282" t="s">
        <v>145</v>
      </c>
      <c r="B38" s="283">
        <v>4228</v>
      </c>
      <c r="C38" s="284" t="s">
        <v>350</v>
      </c>
      <c r="D38" s="285">
        <v>2545</v>
      </c>
    </row>
    <row r="39" spans="1:4" ht="15" customHeight="1">
      <c r="A39" s="282" t="s">
        <v>145</v>
      </c>
      <c r="B39" s="283">
        <v>4229</v>
      </c>
      <c r="C39" s="284" t="s">
        <v>350</v>
      </c>
      <c r="D39" s="285">
        <v>1455</v>
      </c>
    </row>
    <row r="40" spans="1:4" ht="15" customHeight="1">
      <c r="A40" s="282" t="s">
        <v>145</v>
      </c>
      <c r="B40" s="283">
        <v>4268</v>
      </c>
      <c r="C40" s="284" t="s">
        <v>351</v>
      </c>
      <c r="D40" s="285">
        <v>51540</v>
      </c>
    </row>
    <row r="41" spans="1:4" ht="15" customHeight="1">
      <c r="A41" s="282" t="s">
        <v>145</v>
      </c>
      <c r="B41" s="283">
        <v>4269</v>
      </c>
      <c r="C41" s="284" t="s">
        <v>351</v>
      </c>
      <c r="D41" s="285">
        <v>29460</v>
      </c>
    </row>
    <row r="42" spans="1:4" ht="15" customHeight="1">
      <c r="A42" s="282" t="s">
        <v>145</v>
      </c>
      <c r="B42" s="283">
        <v>4278</v>
      </c>
      <c r="C42" s="284" t="s">
        <v>352</v>
      </c>
      <c r="D42" s="285">
        <v>12089</v>
      </c>
    </row>
    <row r="43" spans="1:4" ht="15" customHeight="1">
      <c r="A43" s="282" t="s">
        <v>145</v>
      </c>
      <c r="B43" s="283">
        <v>4279</v>
      </c>
      <c r="C43" s="284" t="s">
        <v>352</v>
      </c>
      <c r="D43" s="285">
        <v>6911</v>
      </c>
    </row>
    <row r="44" spans="1:4" ht="15" customHeight="1">
      <c r="A44" s="282" t="s">
        <v>145</v>
      </c>
      <c r="B44" s="283">
        <v>4308</v>
      </c>
      <c r="C44" s="284" t="s">
        <v>353</v>
      </c>
      <c r="D44" s="285">
        <v>299405</v>
      </c>
    </row>
    <row r="45" spans="1:4" ht="15" customHeight="1">
      <c r="A45" s="282" t="s">
        <v>145</v>
      </c>
      <c r="B45" s="283">
        <v>4309</v>
      </c>
      <c r="C45" s="284" t="s">
        <v>353</v>
      </c>
      <c r="D45" s="285">
        <v>170495</v>
      </c>
    </row>
    <row r="46" spans="1:4" ht="15" customHeight="1">
      <c r="A46" s="282" t="s">
        <v>145</v>
      </c>
      <c r="B46" s="283">
        <v>4368</v>
      </c>
      <c r="C46" s="284" t="s">
        <v>354</v>
      </c>
      <c r="D46" s="285">
        <v>6618</v>
      </c>
    </row>
    <row r="47" spans="1:4" ht="15" customHeight="1">
      <c r="A47" s="282" t="s">
        <v>145</v>
      </c>
      <c r="B47" s="283">
        <v>4369</v>
      </c>
      <c r="C47" s="284" t="s">
        <v>354</v>
      </c>
      <c r="D47" s="285">
        <v>3782</v>
      </c>
    </row>
    <row r="48" spans="1:4" ht="15" customHeight="1">
      <c r="A48" s="282" t="s">
        <v>145</v>
      </c>
      <c r="B48" s="283">
        <v>4388</v>
      </c>
      <c r="C48" s="284" t="s">
        <v>355</v>
      </c>
      <c r="D48" s="285">
        <v>1909</v>
      </c>
    </row>
    <row r="49" spans="1:4" ht="15" customHeight="1">
      <c r="A49" s="282" t="s">
        <v>145</v>
      </c>
      <c r="B49" s="283">
        <v>4389</v>
      </c>
      <c r="C49" s="284" t="s">
        <v>355</v>
      </c>
      <c r="D49" s="285">
        <v>1091</v>
      </c>
    </row>
    <row r="50" spans="1:4" ht="15" customHeight="1">
      <c r="A50" s="282" t="s">
        <v>145</v>
      </c>
      <c r="B50" s="283">
        <v>4408</v>
      </c>
      <c r="C50" s="284" t="s">
        <v>356</v>
      </c>
      <c r="D50" s="285">
        <v>244975</v>
      </c>
    </row>
    <row r="51" spans="1:4" ht="15" customHeight="1">
      <c r="A51" s="286" t="s">
        <v>145</v>
      </c>
      <c r="B51" s="287">
        <v>4409</v>
      </c>
      <c r="C51" s="288" t="s">
        <v>356</v>
      </c>
      <c r="D51" s="289">
        <v>140025</v>
      </c>
    </row>
    <row r="52" spans="1:4" ht="15" customHeight="1">
      <c r="A52" s="290" t="s">
        <v>145</v>
      </c>
      <c r="B52" s="291">
        <v>4418</v>
      </c>
      <c r="C52" s="292" t="s">
        <v>357</v>
      </c>
      <c r="D52" s="293">
        <v>6363</v>
      </c>
    </row>
    <row r="53" spans="1:4" ht="15" customHeight="1">
      <c r="A53" s="282" t="s">
        <v>145</v>
      </c>
      <c r="B53" s="283">
        <v>4419</v>
      </c>
      <c r="C53" s="284" t="s">
        <v>357</v>
      </c>
      <c r="D53" s="285">
        <v>3637</v>
      </c>
    </row>
    <row r="54" spans="1:4" ht="15" customHeight="1">
      <c r="A54" s="282" t="s">
        <v>145</v>
      </c>
      <c r="B54" s="283">
        <v>4428</v>
      </c>
      <c r="C54" s="284" t="s">
        <v>358</v>
      </c>
      <c r="D54" s="285">
        <v>11453</v>
      </c>
    </row>
    <row r="55" spans="1:4" ht="15" customHeight="1">
      <c r="A55" s="282" t="s">
        <v>145</v>
      </c>
      <c r="B55" s="283">
        <v>4429</v>
      </c>
      <c r="C55" s="284" t="s">
        <v>358</v>
      </c>
      <c r="D55" s="285">
        <v>6547</v>
      </c>
    </row>
    <row r="56" spans="1:4" ht="15" customHeight="1">
      <c r="A56" s="282" t="s">
        <v>145</v>
      </c>
      <c r="B56" s="283">
        <v>4438</v>
      </c>
      <c r="C56" s="284" t="s">
        <v>359</v>
      </c>
      <c r="D56" s="285">
        <v>3690</v>
      </c>
    </row>
    <row r="57" spans="1:4" ht="15" customHeight="1">
      <c r="A57" s="282" t="s">
        <v>145</v>
      </c>
      <c r="B57" s="283">
        <v>4439</v>
      </c>
      <c r="C57" s="284" t="s">
        <v>359</v>
      </c>
      <c r="D57" s="285">
        <v>2110</v>
      </c>
    </row>
    <row r="58" spans="1:4" ht="15" customHeight="1">
      <c r="A58" s="282" t="s">
        <v>145</v>
      </c>
      <c r="B58" s="283">
        <v>4708</v>
      </c>
      <c r="C58" s="284" t="s">
        <v>360</v>
      </c>
      <c r="D58" s="285">
        <v>22270</v>
      </c>
    </row>
    <row r="59" spans="1:4" ht="15" customHeight="1">
      <c r="A59" s="282" t="s">
        <v>145</v>
      </c>
      <c r="B59" s="283">
        <v>4709</v>
      </c>
      <c r="C59" s="284" t="s">
        <v>360</v>
      </c>
      <c r="D59" s="285">
        <v>12730</v>
      </c>
    </row>
    <row r="60" spans="1:4" ht="41.25" customHeight="1">
      <c r="A60" s="282" t="s">
        <v>145</v>
      </c>
      <c r="B60" s="283">
        <v>6660</v>
      </c>
      <c r="C60" s="284" t="s">
        <v>361</v>
      </c>
      <c r="D60" s="285">
        <v>2500</v>
      </c>
    </row>
    <row r="61" spans="1:4" s="277" customFormat="1" ht="15" customHeight="1">
      <c r="A61" s="278" t="s">
        <v>140</v>
      </c>
      <c r="B61" s="279" t="s">
        <v>145</v>
      </c>
      <c r="C61" s="280" t="s">
        <v>141</v>
      </c>
      <c r="D61" s="281">
        <f>SUM(D62:D69)</f>
        <v>6500000</v>
      </c>
    </row>
    <row r="62" spans="1:4" ht="15" customHeight="1">
      <c r="A62" s="282" t="s">
        <v>145</v>
      </c>
      <c r="B62" s="283">
        <v>4010</v>
      </c>
      <c r="C62" s="284" t="s">
        <v>343</v>
      </c>
      <c r="D62" s="285">
        <v>367445</v>
      </c>
    </row>
    <row r="63" spans="1:4" ht="15" customHeight="1">
      <c r="A63" s="282" t="s">
        <v>145</v>
      </c>
      <c r="B63" s="283">
        <v>4040</v>
      </c>
      <c r="C63" s="284" t="s">
        <v>344</v>
      </c>
      <c r="D63" s="285">
        <v>25400</v>
      </c>
    </row>
    <row r="64" spans="1:4" ht="15" customHeight="1">
      <c r="A64" s="282" t="s">
        <v>145</v>
      </c>
      <c r="B64" s="283">
        <v>4110</v>
      </c>
      <c r="C64" s="284" t="s">
        <v>345</v>
      </c>
      <c r="D64" s="285">
        <v>67531</v>
      </c>
    </row>
    <row r="65" spans="1:4" ht="15" customHeight="1">
      <c r="A65" s="282" t="s">
        <v>145</v>
      </c>
      <c r="B65" s="283">
        <v>4120</v>
      </c>
      <c r="C65" s="284" t="s">
        <v>346</v>
      </c>
      <c r="D65" s="285">
        <v>9624</v>
      </c>
    </row>
    <row r="66" spans="1:4" ht="15" customHeight="1">
      <c r="A66" s="282" t="s">
        <v>145</v>
      </c>
      <c r="B66" s="283">
        <v>4210</v>
      </c>
      <c r="C66" s="284" t="s">
        <v>349</v>
      </c>
      <c r="D66" s="285">
        <v>10000</v>
      </c>
    </row>
    <row r="67" spans="1:4" ht="15" customHeight="1">
      <c r="A67" s="282" t="s">
        <v>145</v>
      </c>
      <c r="B67" s="283">
        <v>4610</v>
      </c>
      <c r="C67" s="284" t="s">
        <v>362</v>
      </c>
      <c r="D67" s="285">
        <v>15000</v>
      </c>
    </row>
    <row r="68" spans="1:4" ht="15" customHeight="1">
      <c r="A68" s="282" t="s">
        <v>145</v>
      </c>
      <c r="B68" s="283">
        <v>4700</v>
      </c>
      <c r="C68" s="284" t="s">
        <v>360</v>
      </c>
      <c r="D68" s="285">
        <v>5000</v>
      </c>
    </row>
    <row r="69" spans="1:4" ht="28.5" customHeight="1">
      <c r="A69" s="282" t="s">
        <v>145</v>
      </c>
      <c r="B69" s="283">
        <v>6610</v>
      </c>
      <c r="C69" s="284" t="s">
        <v>363</v>
      </c>
      <c r="D69" s="285">
        <v>6000000</v>
      </c>
    </row>
    <row r="70" spans="1:4" s="277" customFormat="1" ht="15" customHeight="1">
      <c r="A70" s="278" t="s">
        <v>142</v>
      </c>
      <c r="B70" s="279" t="s">
        <v>145</v>
      </c>
      <c r="C70" s="280" t="s">
        <v>130</v>
      </c>
      <c r="D70" s="281">
        <f>SUM(D71:D78)</f>
        <v>346400</v>
      </c>
    </row>
    <row r="71" spans="1:4" ht="27.75" customHeight="1">
      <c r="A71" s="282" t="s">
        <v>145</v>
      </c>
      <c r="B71" s="283">
        <v>2310</v>
      </c>
      <c r="C71" s="284" t="s">
        <v>364</v>
      </c>
      <c r="D71" s="285">
        <v>80000</v>
      </c>
    </row>
    <row r="72" spans="1:4" ht="15" customHeight="1">
      <c r="A72" s="282" t="s">
        <v>145</v>
      </c>
      <c r="B72" s="283">
        <v>4170</v>
      </c>
      <c r="C72" s="284" t="s">
        <v>347</v>
      </c>
      <c r="D72" s="285">
        <v>5800</v>
      </c>
    </row>
    <row r="73" spans="1:4" ht="15" customHeight="1">
      <c r="A73" s="282" t="s">
        <v>145</v>
      </c>
      <c r="B73" s="283">
        <v>4190</v>
      </c>
      <c r="C73" s="284" t="s">
        <v>348</v>
      </c>
      <c r="D73" s="285">
        <v>22000</v>
      </c>
    </row>
    <row r="74" spans="1:4" ht="15" customHeight="1">
      <c r="A74" s="282" t="s">
        <v>145</v>
      </c>
      <c r="B74" s="283">
        <v>4210</v>
      </c>
      <c r="C74" s="284" t="s">
        <v>349</v>
      </c>
      <c r="D74" s="285">
        <v>1000</v>
      </c>
    </row>
    <row r="75" spans="1:4" ht="15" customHeight="1">
      <c r="A75" s="282" t="s">
        <v>145</v>
      </c>
      <c r="B75" s="283">
        <v>4220</v>
      </c>
      <c r="C75" s="284" t="s">
        <v>350</v>
      </c>
      <c r="D75" s="285">
        <v>2000</v>
      </c>
    </row>
    <row r="76" spans="1:4" ht="15" customHeight="1">
      <c r="A76" s="282" t="s">
        <v>145</v>
      </c>
      <c r="B76" s="283">
        <v>4300</v>
      </c>
      <c r="C76" s="284" t="s">
        <v>353</v>
      </c>
      <c r="D76" s="285">
        <v>224600</v>
      </c>
    </row>
    <row r="77" spans="1:4" ht="15" customHeight="1">
      <c r="A77" s="282" t="s">
        <v>145</v>
      </c>
      <c r="B77" s="283">
        <v>4530</v>
      </c>
      <c r="C77" s="284" t="s">
        <v>365</v>
      </c>
      <c r="D77" s="285">
        <v>2000</v>
      </c>
    </row>
    <row r="78" spans="1:4" ht="15" customHeight="1">
      <c r="A78" s="282" t="s">
        <v>145</v>
      </c>
      <c r="B78" s="283">
        <v>4540</v>
      </c>
      <c r="C78" s="284" t="s">
        <v>366</v>
      </c>
      <c r="D78" s="285">
        <v>9000</v>
      </c>
    </row>
    <row r="79" spans="1:4" s="277" customFormat="1" ht="15" customHeight="1">
      <c r="A79" s="273" t="s">
        <v>78</v>
      </c>
      <c r="B79" s="274" t="s">
        <v>145</v>
      </c>
      <c r="C79" s="275" t="s">
        <v>79</v>
      </c>
      <c r="D79" s="276">
        <f>D80+D85</f>
        <v>704000</v>
      </c>
    </row>
    <row r="80" spans="1:4" s="277" customFormat="1" ht="15" customHeight="1">
      <c r="A80" s="278" t="s">
        <v>191</v>
      </c>
      <c r="B80" s="279" t="s">
        <v>145</v>
      </c>
      <c r="C80" s="280" t="s">
        <v>177</v>
      </c>
      <c r="D80" s="281">
        <f>SUM(D81:D84)</f>
        <v>56000</v>
      </c>
    </row>
    <row r="81" spans="1:4" ht="15" customHeight="1">
      <c r="A81" s="282" t="s">
        <v>145</v>
      </c>
      <c r="B81" s="283">
        <v>4010</v>
      </c>
      <c r="C81" s="284" t="s">
        <v>343</v>
      </c>
      <c r="D81" s="285">
        <v>43413</v>
      </c>
    </row>
    <row r="82" spans="1:4" ht="15" customHeight="1">
      <c r="A82" s="282" t="s">
        <v>145</v>
      </c>
      <c r="B82" s="283">
        <v>4040</v>
      </c>
      <c r="C82" s="284" t="s">
        <v>344</v>
      </c>
      <c r="D82" s="285">
        <v>3394</v>
      </c>
    </row>
    <row r="83" spans="1:4" ht="15" customHeight="1">
      <c r="A83" s="282" t="s">
        <v>145</v>
      </c>
      <c r="B83" s="283">
        <v>4110</v>
      </c>
      <c r="C83" s="284" t="s">
        <v>345</v>
      </c>
      <c r="D83" s="285">
        <v>8046</v>
      </c>
    </row>
    <row r="84" spans="1:4" ht="15" customHeight="1">
      <c r="A84" s="282" t="s">
        <v>145</v>
      </c>
      <c r="B84" s="283">
        <v>4120</v>
      </c>
      <c r="C84" s="284" t="s">
        <v>346</v>
      </c>
      <c r="D84" s="285">
        <v>1147</v>
      </c>
    </row>
    <row r="85" spans="1:4" s="277" customFormat="1" ht="28.5" customHeight="1">
      <c r="A85" s="278" t="s">
        <v>133</v>
      </c>
      <c r="B85" s="279" t="s">
        <v>145</v>
      </c>
      <c r="C85" s="280" t="s">
        <v>167</v>
      </c>
      <c r="D85" s="281">
        <f>SUM(D86:D118)</f>
        <v>648000</v>
      </c>
    </row>
    <row r="86" spans="1:4" ht="39.75" customHeight="1">
      <c r="A86" s="282" t="s">
        <v>145</v>
      </c>
      <c r="B86" s="283">
        <v>2910</v>
      </c>
      <c r="C86" s="284" t="s">
        <v>342</v>
      </c>
      <c r="D86" s="285">
        <v>8000</v>
      </c>
    </row>
    <row r="87" spans="1:4" ht="15" customHeight="1">
      <c r="A87" s="282" t="s">
        <v>145</v>
      </c>
      <c r="B87" s="283">
        <v>4018</v>
      </c>
      <c r="C87" s="284" t="s">
        <v>343</v>
      </c>
      <c r="D87" s="285">
        <v>283440</v>
      </c>
    </row>
    <row r="88" spans="1:4" ht="15" customHeight="1">
      <c r="A88" s="282" t="s">
        <v>145</v>
      </c>
      <c r="B88" s="283">
        <v>4019</v>
      </c>
      <c r="C88" s="284" t="s">
        <v>343</v>
      </c>
      <c r="D88" s="285">
        <v>94480</v>
      </c>
    </row>
    <row r="89" spans="1:4" ht="15" customHeight="1">
      <c r="A89" s="282" t="s">
        <v>145</v>
      </c>
      <c r="B89" s="283">
        <v>4048</v>
      </c>
      <c r="C89" s="284" t="s">
        <v>344</v>
      </c>
      <c r="D89" s="285">
        <v>27750</v>
      </c>
    </row>
    <row r="90" spans="1:4" ht="15" customHeight="1">
      <c r="A90" s="282" t="s">
        <v>145</v>
      </c>
      <c r="B90" s="283">
        <v>4049</v>
      </c>
      <c r="C90" s="284" t="s">
        <v>344</v>
      </c>
      <c r="D90" s="285">
        <v>9250</v>
      </c>
    </row>
    <row r="91" spans="1:4" ht="15" customHeight="1">
      <c r="A91" s="282" t="s">
        <v>145</v>
      </c>
      <c r="B91" s="283">
        <v>4118</v>
      </c>
      <c r="C91" s="284" t="s">
        <v>345</v>
      </c>
      <c r="D91" s="285">
        <v>53881</v>
      </c>
    </row>
    <row r="92" spans="1:4" ht="15" customHeight="1">
      <c r="A92" s="282" t="s">
        <v>145</v>
      </c>
      <c r="B92" s="283">
        <v>4119</v>
      </c>
      <c r="C92" s="284" t="s">
        <v>345</v>
      </c>
      <c r="D92" s="285">
        <v>17960</v>
      </c>
    </row>
    <row r="93" spans="1:4" ht="15" customHeight="1">
      <c r="A93" s="282" t="s">
        <v>145</v>
      </c>
      <c r="B93" s="283">
        <v>4128</v>
      </c>
      <c r="C93" s="284" t="s">
        <v>346</v>
      </c>
      <c r="D93" s="285">
        <v>7679</v>
      </c>
    </row>
    <row r="94" spans="1:4" ht="15" customHeight="1">
      <c r="A94" s="282" t="s">
        <v>145</v>
      </c>
      <c r="B94" s="283">
        <v>4129</v>
      </c>
      <c r="C94" s="284" t="s">
        <v>346</v>
      </c>
      <c r="D94" s="285">
        <v>2560</v>
      </c>
    </row>
    <row r="95" spans="1:4" ht="15" customHeight="1">
      <c r="A95" s="282" t="s">
        <v>145</v>
      </c>
      <c r="B95" s="283">
        <v>4178</v>
      </c>
      <c r="C95" s="284" t="s">
        <v>347</v>
      </c>
      <c r="D95" s="285">
        <v>2250</v>
      </c>
    </row>
    <row r="96" spans="1:4" ht="15" customHeight="1">
      <c r="A96" s="282" t="s">
        <v>145</v>
      </c>
      <c r="B96" s="283">
        <v>4179</v>
      </c>
      <c r="C96" s="284" t="s">
        <v>347</v>
      </c>
      <c r="D96" s="285">
        <v>750</v>
      </c>
    </row>
    <row r="97" spans="1:4" ht="15" customHeight="1">
      <c r="A97" s="282" t="s">
        <v>145</v>
      </c>
      <c r="B97" s="283">
        <v>4218</v>
      </c>
      <c r="C97" s="284" t="s">
        <v>349</v>
      </c>
      <c r="D97" s="285">
        <v>26250</v>
      </c>
    </row>
    <row r="98" spans="1:4" ht="15" customHeight="1">
      <c r="A98" s="282" t="s">
        <v>145</v>
      </c>
      <c r="B98" s="283">
        <v>4219</v>
      </c>
      <c r="C98" s="284" t="s">
        <v>349</v>
      </c>
      <c r="D98" s="285">
        <v>8750</v>
      </c>
    </row>
    <row r="99" spans="1:4" ht="15" customHeight="1">
      <c r="A99" s="282" t="s">
        <v>145</v>
      </c>
      <c r="B99" s="283">
        <v>4228</v>
      </c>
      <c r="C99" s="284" t="s">
        <v>350</v>
      </c>
      <c r="D99" s="285">
        <v>2250</v>
      </c>
    </row>
    <row r="100" spans="1:4" ht="15" customHeight="1">
      <c r="A100" s="282" t="s">
        <v>145</v>
      </c>
      <c r="B100" s="283">
        <v>4229</v>
      </c>
      <c r="C100" s="284" t="s">
        <v>350</v>
      </c>
      <c r="D100" s="285">
        <v>750</v>
      </c>
    </row>
    <row r="101" spans="1:4" ht="15" customHeight="1">
      <c r="A101" s="282" t="s">
        <v>145</v>
      </c>
      <c r="B101" s="283">
        <v>4268</v>
      </c>
      <c r="C101" s="284" t="s">
        <v>351</v>
      </c>
      <c r="D101" s="285">
        <v>7500</v>
      </c>
    </row>
    <row r="102" spans="1:4" ht="15" customHeight="1">
      <c r="A102" s="282" t="s">
        <v>145</v>
      </c>
      <c r="B102" s="283">
        <v>4269</v>
      </c>
      <c r="C102" s="284" t="s">
        <v>351</v>
      </c>
      <c r="D102" s="285">
        <v>2500</v>
      </c>
    </row>
    <row r="103" spans="1:4" ht="15" customHeight="1">
      <c r="A103" s="282" t="s">
        <v>145</v>
      </c>
      <c r="B103" s="283">
        <v>4278</v>
      </c>
      <c r="C103" s="284" t="s">
        <v>352</v>
      </c>
      <c r="D103" s="285">
        <v>5250</v>
      </c>
    </row>
    <row r="104" spans="1:4" ht="15" customHeight="1">
      <c r="A104" s="286" t="s">
        <v>145</v>
      </c>
      <c r="B104" s="287">
        <v>4279</v>
      </c>
      <c r="C104" s="288" t="s">
        <v>352</v>
      </c>
      <c r="D104" s="289">
        <v>1750</v>
      </c>
    </row>
    <row r="105" spans="1:4" ht="15" customHeight="1">
      <c r="A105" s="290" t="s">
        <v>145</v>
      </c>
      <c r="B105" s="291">
        <v>4308</v>
      </c>
      <c r="C105" s="292" t="s">
        <v>353</v>
      </c>
      <c r="D105" s="293">
        <v>15750</v>
      </c>
    </row>
    <row r="106" spans="1:4" ht="15" customHeight="1">
      <c r="A106" s="282" t="s">
        <v>145</v>
      </c>
      <c r="B106" s="283">
        <v>4309</v>
      </c>
      <c r="C106" s="284" t="s">
        <v>353</v>
      </c>
      <c r="D106" s="285">
        <v>5250</v>
      </c>
    </row>
    <row r="107" spans="1:4" ht="15" customHeight="1">
      <c r="A107" s="282" t="s">
        <v>145</v>
      </c>
      <c r="B107" s="283">
        <v>4368</v>
      </c>
      <c r="C107" s="284" t="s">
        <v>354</v>
      </c>
      <c r="D107" s="285">
        <v>1500</v>
      </c>
    </row>
    <row r="108" spans="1:4" ht="15" customHeight="1">
      <c r="A108" s="282" t="s">
        <v>145</v>
      </c>
      <c r="B108" s="283">
        <v>4369</v>
      </c>
      <c r="C108" s="284" t="s">
        <v>354</v>
      </c>
      <c r="D108" s="285">
        <v>500</v>
      </c>
    </row>
    <row r="109" spans="1:4" ht="15" customHeight="1">
      <c r="A109" s="282" t="s">
        <v>145</v>
      </c>
      <c r="B109" s="283">
        <v>4408</v>
      </c>
      <c r="C109" s="284" t="s">
        <v>356</v>
      </c>
      <c r="D109" s="285">
        <v>37500</v>
      </c>
    </row>
    <row r="110" spans="1:4" ht="15" customHeight="1">
      <c r="A110" s="282" t="s">
        <v>145</v>
      </c>
      <c r="B110" s="283">
        <v>4409</v>
      </c>
      <c r="C110" s="284" t="s">
        <v>356</v>
      </c>
      <c r="D110" s="285">
        <v>12500</v>
      </c>
    </row>
    <row r="111" spans="1:4" ht="15" customHeight="1">
      <c r="A111" s="282" t="s">
        <v>145</v>
      </c>
      <c r="B111" s="283">
        <v>4418</v>
      </c>
      <c r="C111" s="284" t="s">
        <v>357</v>
      </c>
      <c r="D111" s="285">
        <v>3000</v>
      </c>
    </row>
    <row r="112" spans="1:4" ht="15" customHeight="1">
      <c r="A112" s="282" t="s">
        <v>145</v>
      </c>
      <c r="B112" s="283">
        <v>4419</v>
      </c>
      <c r="C112" s="284" t="s">
        <v>357</v>
      </c>
      <c r="D112" s="285">
        <v>1000</v>
      </c>
    </row>
    <row r="113" spans="1:4" ht="15" customHeight="1">
      <c r="A113" s="282" t="s">
        <v>145</v>
      </c>
      <c r="B113" s="283">
        <v>4428</v>
      </c>
      <c r="C113" s="284" t="s">
        <v>358</v>
      </c>
      <c r="D113" s="285">
        <v>750</v>
      </c>
    </row>
    <row r="114" spans="1:4" ht="15" customHeight="1">
      <c r="A114" s="282" t="s">
        <v>145</v>
      </c>
      <c r="B114" s="283">
        <v>4429</v>
      </c>
      <c r="C114" s="284" t="s">
        <v>358</v>
      </c>
      <c r="D114" s="285">
        <v>250</v>
      </c>
    </row>
    <row r="115" spans="1:4" ht="15" customHeight="1">
      <c r="A115" s="282" t="s">
        <v>145</v>
      </c>
      <c r="B115" s="283">
        <v>4438</v>
      </c>
      <c r="C115" s="284" t="s">
        <v>359</v>
      </c>
      <c r="D115" s="285">
        <v>1500</v>
      </c>
    </row>
    <row r="116" spans="1:4" ht="15" customHeight="1">
      <c r="A116" s="282" t="s">
        <v>145</v>
      </c>
      <c r="B116" s="283">
        <v>4439</v>
      </c>
      <c r="C116" s="284" t="s">
        <v>359</v>
      </c>
      <c r="D116" s="285">
        <v>500</v>
      </c>
    </row>
    <row r="117" spans="1:4" ht="15" customHeight="1">
      <c r="A117" s="282" t="s">
        <v>145</v>
      </c>
      <c r="B117" s="283">
        <v>4708</v>
      </c>
      <c r="C117" s="284" t="s">
        <v>360</v>
      </c>
      <c r="D117" s="285">
        <v>3750</v>
      </c>
    </row>
    <row r="118" spans="1:4" ht="15" customHeight="1">
      <c r="A118" s="282" t="s">
        <v>145</v>
      </c>
      <c r="B118" s="283">
        <v>4709</v>
      </c>
      <c r="C118" s="284" t="s">
        <v>360</v>
      </c>
      <c r="D118" s="285">
        <v>1250</v>
      </c>
    </row>
    <row r="119" spans="1:4" s="277" customFormat="1" ht="15" customHeight="1">
      <c r="A119" s="273" t="s">
        <v>165</v>
      </c>
      <c r="B119" s="274" t="s">
        <v>145</v>
      </c>
      <c r="C119" s="275" t="s">
        <v>166</v>
      </c>
      <c r="D119" s="276">
        <f>D120+D128+D148</f>
        <v>15815968</v>
      </c>
    </row>
    <row r="120" spans="1:4" s="277" customFormat="1" ht="15" customHeight="1">
      <c r="A120" s="278">
        <v>15011</v>
      </c>
      <c r="B120" s="279" t="s">
        <v>145</v>
      </c>
      <c r="C120" s="280" t="s">
        <v>206</v>
      </c>
      <c r="D120" s="281">
        <f>SUM(D121:D127)</f>
        <v>3710269</v>
      </c>
    </row>
    <row r="121" spans="1:4" ht="15.75" customHeight="1">
      <c r="A121" s="282" t="s">
        <v>145</v>
      </c>
      <c r="B121" s="283">
        <v>2800</v>
      </c>
      <c r="C121" s="284" t="s">
        <v>367</v>
      </c>
      <c r="D121" s="285">
        <v>2403767</v>
      </c>
    </row>
    <row r="122" spans="1:4" ht="15" customHeight="1">
      <c r="A122" s="282" t="s">
        <v>145</v>
      </c>
      <c r="B122" s="283">
        <v>4010</v>
      </c>
      <c r="C122" s="284" t="s">
        <v>343</v>
      </c>
      <c r="D122" s="285">
        <v>187938</v>
      </c>
    </row>
    <row r="123" spans="1:4" ht="15" customHeight="1">
      <c r="A123" s="282" t="s">
        <v>145</v>
      </c>
      <c r="B123" s="283">
        <v>4110</v>
      </c>
      <c r="C123" s="284" t="s">
        <v>345</v>
      </c>
      <c r="D123" s="285">
        <v>32476</v>
      </c>
    </row>
    <row r="124" spans="1:4" ht="15" customHeight="1">
      <c r="A124" s="282" t="s">
        <v>145</v>
      </c>
      <c r="B124" s="283">
        <v>4120</v>
      </c>
      <c r="C124" s="284" t="s">
        <v>346</v>
      </c>
      <c r="D124" s="285">
        <v>4604</v>
      </c>
    </row>
    <row r="125" spans="1:4" ht="15" customHeight="1">
      <c r="A125" s="282" t="s">
        <v>145</v>
      </c>
      <c r="B125" s="283">
        <v>4210</v>
      </c>
      <c r="C125" s="284" t="s">
        <v>349</v>
      </c>
      <c r="D125" s="285">
        <v>9000</v>
      </c>
    </row>
    <row r="126" spans="1:4" ht="15" customHeight="1">
      <c r="A126" s="282" t="s">
        <v>145</v>
      </c>
      <c r="B126" s="283">
        <v>4300</v>
      </c>
      <c r="C126" s="284" t="s">
        <v>353</v>
      </c>
      <c r="D126" s="285">
        <v>1069710</v>
      </c>
    </row>
    <row r="127" spans="1:4" ht="15" customHeight="1">
      <c r="A127" s="282" t="s">
        <v>145</v>
      </c>
      <c r="B127" s="283">
        <v>4410</v>
      </c>
      <c r="C127" s="284" t="s">
        <v>357</v>
      </c>
      <c r="D127" s="285">
        <v>2774</v>
      </c>
    </row>
    <row r="128" spans="1:4" s="277" customFormat="1" ht="15" customHeight="1">
      <c r="A128" s="278">
        <v>15013</v>
      </c>
      <c r="B128" s="279" t="s">
        <v>145</v>
      </c>
      <c r="C128" s="280" t="s">
        <v>247</v>
      </c>
      <c r="D128" s="281">
        <f>SUM(D129:D147)</f>
        <v>11619039</v>
      </c>
    </row>
    <row r="129" spans="1:4" ht="41.25" customHeight="1">
      <c r="A129" s="282" t="s">
        <v>145</v>
      </c>
      <c r="B129" s="283">
        <v>2007</v>
      </c>
      <c r="C129" s="284" t="s">
        <v>341</v>
      </c>
      <c r="D129" s="285">
        <v>9363561</v>
      </c>
    </row>
    <row r="130" spans="1:4" ht="40.5" customHeight="1">
      <c r="A130" s="282" t="s">
        <v>145</v>
      </c>
      <c r="B130" s="283">
        <v>2009</v>
      </c>
      <c r="C130" s="284" t="s">
        <v>341</v>
      </c>
      <c r="D130" s="285">
        <v>1750797</v>
      </c>
    </row>
    <row r="131" spans="1:4" ht="41.25" customHeight="1">
      <c r="A131" s="282" t="s">
        <v>145</v>
      </c>
      <c r="B131" s="283">
        <v>2059</v>
      </c>
      <c r="C131" s="284" t="s">
        <v>176</v>
      </c>
      <c r="D131" s="285">
        <v>160000</v>
      </c>
    </row>
    <row r="132" spans="1:4" ht="15" customHeight="1">
      <c r="A132" s="282" t="s">
        <v>145</v>
      </c>
      <c r="B132" s="283">
        <v>4017</v>
      </c>
      <c r="C132" s="284" t="s">
        <v>343</v>
      </c>
      <c r="D132" s="285">
        <v>152684</v>
      </c>
    </row>
    <row r="133" spans="1:4" ht="15" customHeight="1">
      <c r="A133" s="282" t="s">
        <v>145</v>
      </c>
      <c r="B133" s="283">
        <v>4019</v>
      </c>
      <c r="C133" s="284" t="s">
        <v>343</v>
      </c>
      <c r="D133" s="285">
        <v>98145</v>
      </c>
    </row>
    <row r="134" spans="1:4" ht="15" customHeight="1">
      <c r="A134" s="282" t="s">
        <v>145</v>
      </c>
      <c r="B134" s="283">
        <v>4117</v>
      </c>
      <c r="C134" s="284" t="s">
        <v>345</v>
      </c>
      <c r="D134" s="285">
        <v>26247</v>
      </c>
    </row>
    <row r="135" spans="1:4" ht="15" customHeight="1">
      <c r="A135" s="282" t="s">
        <v>145</v>
      </c>
      <c r="B135" s="283">
        <v>4119</v>
      </c>
      <c r="C135" s="284" t="s">
        <v>345</v>
      </c>
      <c r="D135" s="285">
        <v>16872</v>
      </c>
    </row>
    <row r="136" spans="1:4" ht="15" customHeight="1">
      <c r="A136" s="282" t="s">
        <v>145</v>
      </c>
      <c r="B136" s="283">
        <v>4127</v>
      </c>
      <c r="C136" s="284" t="s">
        <v>346</v>
      </c>
      <c r="D136" s="285">
        <v>3741</v>
      </c>
    </row>
    <row r="137" spans="1:4" ht="15" customHeight="1">
      <c r="A137" s="282" t="s">
        <v>145</v>
      </c>
      <c r="B137" s="283">
        <v>4129</v>
      </c>
      <c r="C137" s="284" t="s">
        <v>346</v>
      </c>
      <c r="D137" s="285">
        <v>2404</v>
      </c>
    </row>
    <row r="138" spans="1:4" ht="15" customHeight="1">
      <c r="A138" s="282" t="s">
        <v>145</v>
      </c>
      <c r="B138" s="283">
        <v>4177</v>
      </c>
      <c r="C138" s="284" t="s">
        <v>347</v>
      </c>
      <c r="D138" s="285">
        <v>22667</v>
      </c>
    </row>
    <row r="139" spans="1:4" ht="15" customHeight="1">
      <c r="A139" s="282" t="s">
        <v>145</v>
      </c>
      <c r="B139" s="283">
        <v>4179</v>
      </c>
      <c r="C139" s="284" t="s">
        <v>347</v>
      </c>
      <c r="D139" s="285">
        <v>1334</v>
      </c>
    </row>
    <row r="140" spans="1:4" ht="15" customHeight="1">
      <c r="A140" s="282" t="s">
        <v>145</v>
      </c>
      <c r="B140" s="283">
        <v>4217</v>
      </c>
      <c r="C140" s="284" t="s">
        <v>349</v>
      </c>
      <c r="D140" s="285">
        <v>3098</v>
      </c>
    </row>
    <row r="141" spans="1:4" ht="15" customHeight="1">
      <c r="A141" s="282" t="s">
        <v>145</v>
      </c>
      <c r="B141" s="283">
        <v>4219</v>
      </c>
      <c r="C141" s="284" t="s">
        <v>349</v>
      </c>
      <c r="D141" s="285">
        <v>183</v>
      </c>
    </row>
    <row r="142" spans="1:4" ht="15" customHeight="1">
      <c r="A142" s="282" t="s">
        <v>145</v>
      </c>
      <c r="B142" s="283">
        <v>4267</v>
      </c>
      <c r="C142" s="284" t="s">
        <v>351</v>
      </c>
      <c r="D142" s="285">
        <v>1055</v>
      </c>
    </row>
    <row r="143" spans="1:4" ht="15" customHeight="1">
      <c r="A143" s="282" t="s">
        <v>145</v>
      </c>
      <c r="B143" s="283">
        <v>4269</v>
      </c>
      <c r="C143" s="284" t="s">
        <v>351</v>
      </c>
      <c r="D143" s="285">
        <v>62</v>
      </c>
    </row>
    <row r="144" spans="1:4" ht="15" customHeight="1">
      <c r="A144" s="282" t="s">
        <v>145</v>
      </c>
      <c r="B144" s="283">
        <v>4307</v>
      </c>
      <c r="C144" s="284" t="s">
        <v>353</v>
      </c>
      <c r="D144" s="285">
        <v>7907</v>
      </c>
    </row>
    <row r="145" spans="1:4" ht="15" customHeight="1">
      <c r="A145" s="282" t="s">
        <v>145</v>
      </c>
      <c r="B145" s="283">
        <v>4309</v>
      </c>
      <c r="C145" s="284" t="s">
        <v>353</v>
      </c>
      <c r="D145" s="285">
        <v>465</v>
      </c>
    </row>
    <row r="146" spans="1:4" ht="15" customHeight="1">
      <c r="A146" s="282" t="s">
        <v>145</v>
      </c>
      <c r="B146" s="283">
        <v>4407</v>
      </c>
      <c r="C146" s="284" t="s">
        <v>356</v>
      </c>
      <c r="D146" s="285">
        <v>7382</v>
      </c>
    </row>
    <row r="147" spans="1:4" ht="15" customHeight="1">
      <c r="A147" s="282" t="s">
        <v>145</v>
      </c>
      <c r="B147" s="283">
        <v>4409</v>
      </c>
      <c r="C147" s="284" t="s">
        <v>356</v>
      </c>
      <c r="D147" s="285">
        <v>435</v>
      </c>
    </row>
    <row r="148" spans="1:4" s="277" customFormat="1" ht="15" customHeight="1">
      <c r="A148" s="278">
        <v>15095</v>
      </c>
      <c r="B148" s="279" t="s">
        <v>145</v>
      </c>
      <c r="C148" s="280" t="s">
        <v>130</v>
      </c>
      <c r="D148" s="281">
        <f>SUM(D149:D168)</f>
        <v>486660</v>
      </c>
    </row>
    <row r="149" spans="1:4" ht="15" customHeight="1">
      <c r="A149" s="282" t="s">
        <v>145</v>
      </c>
      <c r="B149" s="283">
        <v>4018</v>
      </c>
      <c r="C149" s="284" t="s">
        <v>343</v>
      </c>
      <c r="D149" s="285">
        <v>138695</v>
      </c>
    </row>
    <row r="150" spans="1:4" ht="15" customHeight="1">
      <c r="A150" s="282" t="s">
        <v>145</v>
      </c>
      <c r="B150" s="283">
        <v>4019</v>
      </c>
      <c r="C150" s="284" t="s">
        <v>343</v>
      </c>
      <c r="D150" s="285">
        <v>24476</v>
      </c>
    </row>
    <row r="151" spans="1:4" ht="15" customHeight="1">
      <c r="A151" s="282" t="s">
        <v>145</v>
      </c>
      <c r="B151" s="283">
        <v>4048</v>
      </c>
      <c r="C151" s="284" t="s">
        <v>344</v>
      </c>
      <c r="D151" s="285">
        <v>12009</v>
      </c>
    </row>
    <row r="152" spans="1:4" ht="15" customHeight="1">
      <c r="A152" s="282" t="s">
        <v>145</v>
      </c>
      <c r="B152" s="283">
        <v>4049</v>
      </c>
      <c r="C152" s="284" t="s">
        <v>344</v>
      </c>
      <c r="D152" s="285">
        <v>2119</v>
      </c>
    </row>
    <row r="153" spans="1:4" ht="15" customHeight="1">
      <c r="A153" s="282" t="s">
        <v>145</v>
      </c>
      <c r="B153" s="283">
        <v>4118</v>
      </c>
      <c r="C153" s="284" t="s">
        <v>345</v>
      </c>
      <c r="D153" s="285">
        <v>25906</v>
      </c>
    </row>
    <row r="154" spans="1:4" ht="15" customHeight="1">
      <c r="A154" s="282" t="s">
        <v>145</v>
      </c>
      <c r="B154" s="283">
        <v>4119</v>
      </c>
      <c r="C154" s="284" t="s">
        <v>345</v>
      </c>
      <c r="D154" s="285">
        <v>4572</v>
      </c>
    </row>
    <row r="155" spans="1:4" ht="15" customHeight="1">
      <c r="A155" s="282" t="s">
        <v>145</v>
      </c>
      <c r="B155" s="283">
        <v>4128</v>
      </c>
      <c r="C155" s="284" t="s">
        <v>346</v>
      </c>
      <c r="D155" s="285">
        <v>3693</v>
      </c>
    </row>
    <row r="156" spans="1:4" ht="15" customHeight="1">
      <c r="A156" s="282" t="s">
        <v>145</v>
      </c>
      <c r="B156" s="283">
        <v>4129</v>
      </c>
      <c r="C156" s="284" t="s">
        <v>346</v>
      </c>
      <c r="D156" s="285">
        <v>652</v>
      </c>
    </row>
    <row r="157" spans="1:4" ht="15" customHeight="1">
      <c r="A157" s="286" t="s">
        <v>145</v>
      </c>
      <c r="B157" s="287">
        <v>4218</v>
      </c>
      <c r="C157" s="288" t="s">
        <v>349</v>
      </c>
      <c r="D157" s="289">
        <v>6800</v>
      </c>
    </row>
    <row r="158" spans="1:4" ht="15" customHeight="1">
      <c r="A158" s="290" t="s">
        <v>145</v>
      </c>
      <c r="B158" s="291">
        <v>4219</v>
      </c>
      <c r="C158" s="292" t="s">
        <v>349</v>
      </c>
      <c r="D158" s="293">
        <v>1200</v>
      </c>
    </row>
    <row r="159" spans="1:4" ht="15" customHeight="1">
      <c r="A159" s="282" t="s">
        <v>145</v>
      </c>
      <c r="B159" s="283">
        <v>4308</v>
      </c>
      <c r="C159" s="284" t="s">
        <v>353</v>
      </c>
      <c r="D159" s="285">
        <v>166057</v>
      </c>
    </row>
    <row r="160" spans="1:4" ht="15" customHeight="1">
      <c r="A160" s="282" t="s">
        <v>145</v>
      </c>
      <c r="B160" s="283">
        <v>4309</v>
      </c>
      <c r="C160" s="284" t="s">
        <v>353</v>
      </c>
      <c r="D160" s="285">
        <v>29305</v>
      </c>
    </row>
    <row r="161" spans="1:4" ht="15" customHeight="1">
      <c r="A161" s="282" t="s">
        <v>145</v>
      </c>
      <c r="B161" s="283">
        <v>4388</v>
      </c>
      <c r="C161" s="284" t="s">
        <v>355</v>
      </c>
      <c r="D161" s="285">
        <v>8443</v>
      </c>
    </row>
    <row r="162" spans="1:4" ht="15" customHeight="1">
      <c r="A162" s="282" t="s">
        <v>145</v>
      </c>
      <c r="B162" s="283">
        <v>4389</v>
      </c>
      <c r="C162" s="284" t="s">
        <v>355</v>
      </c>
      <c r="D162" s="285">
        <v>1490</v>
      </c>
    </row>
    <row r="163" spans="1:4" ht="15" customHeight="1">
      <c r="A163" s="282" t="s">
        <v>145</v>
      </c>
      <c r="B163" s="283">
        <v>4418</v>
      </c>
      <c r="C163" s="284" t="s">
        <v>357</v>
      </c>
      <c r="D163" s="285">
        <v>1275</v>
      </c>
    </row>
    <row r="164" spans="1:4" ht="15" customHeight="1">
      <c r="A164" s="282" t="s">
        <v>145</v>
      </c>
      <c r="B164" s="283">
        <v>4419</v>
      </c>
      <c r="C164" s="284" t="s">
        <v>357</v>
      </c>
      <c r="D164" s="285">
        <v>225</v>
      </c>
    </row>
    <row r="165" spans="1:4" ht="15" customHeight="1">
      <c r="A165" s="282" t="s">
        <v>145</v>
      </c>
      <c r="B165" s="283">
        <v>4428</v>
      </c>
      <c r="C165" s="284" t="s">
        <v>358</v>
      </c>
      <c r="D165" s="285">
        <v>49932</v>
      </c>
    </row>
    <row r="166" spans="1:4" ht="15" customHeight="1">
      <c r="A166" s="282" t="s">
        <v>145</v>
      </c>
      <c r="B166" s="283">
        <v>4429</v>
      </c>
      <c r="C166" s="284" t="s">
        <v>358</v>
      </c>
      <c r="D166" s="285">
        <v>8811</v>
      </c>
    </row>
    <row r="167" spans="1:4" ht="15" customHeight="1">
      <c r="A167" s="282" t="s">
        <v>145</v>
      </c>
      <c r="B167" s="283">
        <v>4438</v>
      </c>
      <c r="C167" s="284" t="s">
        <v>359</v>
      </c>
      <c r="D167" s="285">
        <v>850</v>
      </c>
    </row>
    <row r="168" spans="1:4" ht="15" customHeight="1">
      <c r="A168" s="282" t="s">
        <v>145</v>
      </c>
      <c r="B168" s="283">
        <v>4439</v>
      </c>
      <c r="C168" s="284" t="s">
        <v>359</v>
      </c>
      <c r="D168" s="285">
        <v>150</v>
      </c>
    </row>
    <row r="169" spans="1:4" s="277" customFormat="1" ht="15" customHeight="1">
      <c r="A169" s="273" t="s">
        <v>249</v>
      </c>
      <c r="B169" s="274" t="s">
        <v>145</v>
      </c>
      <c r="C169" s="275" t="s">
        <v>250</v>
      </c>
      <c r="D169" s="276">
        <f>D170</f>
        <v>313550</v>
      </c>
    </row>
    <row r="170" spans="1:4" s="277" customFormat="1" ht="15" customHeight="1">
      <c r="A170" s="278">
        <v>50005</v>
      </c>
      <c r="B170" s="279" t="s">
        <v>145</v>
      </c>
      <c r="C170" s="280" t="s">
        <v>252</v>
      </c>
      <c r="D170" s="281">
        <f>SUM(D171:D175)</f>
        <v>313550</v>
      </c>
    </row>
    <row r="171" spans="1:4" ht="15" customHeight="1">
      <c r="A171" s="282" t="s">
        <v>145</v>
      </c>
      <c r="B171" s="283">
        <v>4010</v>
      </c>
      <c r="C171" s="284" t="s">
        <v>343</v>
      </c>
      <c r="D171" s="285">
        <v>226000</v>
      </c>
    </row>
    <row r="172" spans="1:4" ht="15" customHeight="1">
      <c r="A172" s="282" t="s">
        <v>145</v>
      </c>
      <c r="B172" s="283">
        <v>4040</v>
      </c>
      <c r="C172" s="284" t="s">
        <v>344</v>
      </c>
      <c r="D172" s="285">
        <v>19000</v>
      </c>
    </row>
    <row r="173" spans="1:4" ht="15" customHeight="1">
      <c r="A173" s="282" t="s">
        <v>145</v>
      </c>
      <c r="B173" s="283">
        <v>4110</v>
      </c>
      <c r="C173" s="284" t="s">
        <v>345</v>
      </c>
      <c r="D173" s="285">
        <v>42500</v>
      </c>
    </row>
    <row r="174" spans="1:4" ht="15" customHeight="1">
      <c r="A174" s="282" t="s">
        <v>145</v>
      </c>
      <c r="B174" s="283">
        <v>4120</v>
      </c>
      <c r="C174" s="284" t="s">
        <v>346</v>
      </c>
      <c r="D174" s="285">
        <v>6050</v>
      </c>
    </row>
    <row r="175" spans="1:4" ht="15" customHeight="1">
      <c r="A175" s="282" t="s">
        <v>145</v>
      </c>
      <c r="B175" s="283">
        <v>4300</v>
      </c>
      <c r="C175" s="284" t="s">
        <v>353</v>
      </c>
      <c r="D175" s="285">
        <v>20000</v>
      </c>
    </row>
    <row r="176" spans="1:4" s="277" customFormat="1" ht="15" customHeight="1">
      <c r="A176" s="273" t="s">
        <v>80</v>
      </c>
      <c r="B176" s="274" t="s">
        <v>145</v>
      </c>
      <c r="C176" s="275" t="s">
        <v>81</v>
      </c>
      <c r="D176" s="276">
        <f>D177+D181+D184+D186+D226+D228+D230</f>
        <v>473381010</v>
      </c>
    </row>
    <row r="177" spans="1:4" s="277" customFormat="1" ht="15" customHeight="1">
      <c r="A177" s="278">
        <v>60001</v>
      </c>
      <c r="B177" s="279" t="s">
        <v>145</v>
      </c>
      <c r="C177" s="280" t="s">
        <v>134</v>
      </c>
      <c r="D177" s="281">
        <f>SUM(D178:D180)</f>
        <v>108222366</v>
      </c>
    </row>
    <row r="178" spans="1:4" ht="28.5" customHeight="1">
      <c r="A178" s="282" t="s">
        <v>145</v>
      </c>
      <c r="B178" s="283">
        <v>2330</v>
      </c>
      <c r="C178" s="284" t="s">
        <v>368</v>
      </c>
      <c r="D178" s="285">
        <v>1300000</v>
      </c>
    </row>
    <row r="179" spans="1:4" ht="15.75" customHeight="1">
      <c r="A179" s="282" t="s">
        <v>145</v>
      </c>
      <c r="B179" s="283">
        <v>2630</v>
      </c>
      <c r="C179" s="284" t="s">
        <v>369</v>
      </c>
      <c r="D179" s="285">
        <v>96960000</v>
      </c>
    </row>
    <row r="180" spans="1:4" ht="15" customHeight="1">
      <c r="A180" s="282" t="s">
        <v>145</v>
      </c>
      <c r="B180" s="283">
        <v>4270</v>
      </c>
      <c r="C180" s="284" t="s">
        <v>352</v>
      </c>
      <c r="D180" s="285">
        <v>9962366</v>
      </c>
    </row>
    <row r="181" spans="1:4" s="277" customFormat="1" ht="15" customHeight="1">
      <c r="A181" s="278">
        <v>60002</v>
      </c>
      <c r="B181" s="279" t="s">
        <v>145</v>
      </c>
      <c r="C181" s="280" t="s">
        <v>178</v>
      </c>
      <c r="D181" s="281">
        <f>SUM(D182:D183)</f>
        <v>265129</v>
      </c>
    </row>
    <row r="182" spans="1:4" ht="15" customHeight="1">
      <c r="A182" s="282" t="s">
        <v>145</v>
      </c>
      <c r="B182" s="283">
        <v>4300</v>
      </c>
      <c r="C182" s="284" t="s">
        <v>353</v>
      </c>
      <c r="D182" s="285">
        <v>15129</v>
      </c>
    </row>
    <row r="183" spans="1:4" ht="15" customHeight="1">
      <c r="A183" s="282" t="s">
        <v>145</v>
      </c>
      <c r="B183" s="283">
        <v>6050</v>
      </c>
      <c r="C183" s="284" t="s">
        <v>370</v>
      </c>
      <c r="D183" s="285">
        <v>250000</v>
      </c>
    </row>
    <row r="184" spans="1:4" s="277" customFormat="1" ht="15" customHeight="1">
      <c r="A184" s="278">
        <v>60003</v>
      </c>
      <c r="B184" s="279" t="s">
        <v>145</v>
      </c>
      <c r="C184" s="280" t="s">
        <v>135</v>
      </c>
      <c r="D184" s="281">
        <f>D185</f>
        <v>37000000</v>
      </c>
    </row>
    <row r="185" spans="1:4" ht="15" customHeight="1">
      <c r="A185" s="282" t="s">
        <v>145</v>
      </c>
      <c r="B185" s="283">
        <v>4300</v>
      </c>
      <c r="C185" s="284" t="s">
        <v>353</v>
      </c>
      <c r="D185" s="285">
        <v>37000000</v>
      </c>
    </row>
    <row r="186" spans="1:4" s="277" customFormat="1" ht="15" customHeight="1">
      <c r="A186" s="278">
        <v>60013</v>
      </c>
      <c r="B186" s="279" t="s">
        <v>145</v>
      </c>
      <c r="C186" s="280" t="s">
        <v>136</v>
      </c>
      <c r="D186" s="281">
        <f>SUM(D187:D225)</f>
        <v>321768968</v>
      </c>
    </row>
    <row r="187" spans="1:4" ht="15" customHeight="1">
      <c r="A187" s="282" t="s">
        <v>145</v>
      </c>
      <c r="B187" s="283">
        <v>3020</v>
      </c>
      <c r="C187" s="284" t="s">
        <v>371</v>
      </c>
      <c r="D187" s="285">
        <v>75031</v>
      </c>
    </row>
    <row r="188" spans="1:4" ht="15" customHeight="1">
      <c r="A188" s="282" t="s">
        <v>145</v>
      </c>
      <c r="B188" s="283">
        <v>4010</v>
      </c>
      <c r="C188" s="284" t="s">
        <v>343</v>
      </c>
      <c r="D188" s="285">
        <v>10319106</v>
      </c>
    </row>
    <row r="189" spans="1:4" ht="15" customHeight="1">
      <c r="A189" s="282" t="s">
        <v>145</v>
      </c>
      <c r="B189" s="283">
        <v>4017</v>
      </c>
      <c r="C189" s="284" t="s">
        <v>343</v>
      </c>
      <c r="D189" s="285">
        <v>163795</v>
      </c>
    </row>
    <row r="190" spans="1:4" ht="15" customHeight="1">
      <c r="A190" s="282" t="s">
        <v>145</v>
      </c>
      <c r="B190" s="283">
        <v>4019</v>
      </c>
      <c r="C190" s="284" t="s">
        <v>343</v>
      </c>
      <c r="D190" s="285">
        <v>28904</v>
      </c>
    </row>
    <row r="191" spans="1:4" ht="15" customHeight="1">
      <c r="A191" s="282" t="s">
        <v>145</v>
      </c>
      <c r="B191" s="283">
        <v>4040</v>
      </c>
      <c r="C191" s="284" t="s">
        <v>344</v>
      </c>
      <c r="D191" s="285">
        <v>811576</v>
      </c>
    </row>
    <row r="192" spans="1:4" ht="15" customHeight="1">
      <c r="A192" s="282" t="s">
        <v>145</v>
      </c>
      <c r="B192" s="283">
        <v>4047</v>
      </c>
      <c r="C192" s="284" t="s">
        <v>344</v>
      </c>
      <c r="D192" s="285">
        <v>59281</v>
      </c>
    </row>
    <row r="193" spans="1:4" ht="15" customHeight="1">
      <c r="A193" s="282" t="s">
        <v>145</v>
      </c>
      <c r="B193" s="283">
        <v>4049</v>
      </c>
      <c r="C193" s="284" t="s">
        <v>344</v>
      </c>
      <c r="D193" s="285">
        <v>10461</v>
      </c>
    </row>
    <row r="194" spans="1:4" ht="15" customHeight="1">
      <c r="A194" s="282" t="s">
        <v>145</v>
      </c>
      <c r="B194" s="283">
        <v>4110</v>
      </c>
      <c r="C194" s="284" t="s">
        <v>345</v>
      </c>
      <c r="D194" s="285">
        <v>1825844</v>
      </c>
    </row>
    <row r="195" spans="1:4" ht="15" customHeight="1">
      <c r="A195" s="282" t="s">
        <v>145</v>
      </c>
      <c r="B195" s="283">
        <v>4117</v>
      </c>
      <c r="C195" s="284" t="s">
        <v>345</v>
      </c>
      <c r="D195" s="285">
        <v>39108</v>
      </c>
    </row>
    <row r="196" spans="1:4" ht="15" customHeight="1">
      <c r="A196" s="282" t="s">
        <v>145</v>
      </c>
      <c r="B196" s="283">
        <v>4119</v>
      </c>
      <c r="C196" s="284" t="s">
        <v>345</v>
      </c>
      <c r="D196" s="285">
        <v>6902</v>
      </c>
    </row>
    <row r="197" spans="1:4" ht="15" customHeight="1">
      <c r="A197" s="282" t="s">
        <v>145</v>
      </c>
      <c r="B197" s="283">
        <v>4120</v>
      </c>
      <c r="C197" s="284" t="s">
        <v>346</v>
      </c>
      <c r="D197" s="285">
        <v>250613</v>
      </c>
    </row>
    <row r="198" spans="1:4" ht="15" customHeight="1">
      <c r="A198" s="282" t="s">
        <v>145</v>
      </c>
      <c r="B198" s="283">
        <v>4127</v>
      </c>
      <c r="C198" s="284" t="s">
        <v>346</v>
      </c>
      <c r="D198" s="285">
        <v>5469</v>
      </c>
    </row>
    <row r="199" spans="1:4" ht="15" customHeight="1">
      <c r="A199" s="282" t="s">
        <v>145</v>
      </c>
      <c r="B199" s="283">
        <v>4129</v>
      </c>
      <c r="C199" s="284" t="s">
        <v>346</v>
      </c>
      <c r="D199" s="285">
        <v>964</v>
      </c>
    </row>
    <row r="200" spans="1:4" ht="15" customHeight="1">
      <c r="A200" s="282" t="s">
        <v>145</v>
      </c>
      <c r="B200" s="283">
        <v>4140</v>
      </c>
      <c r="C200" s="284" t="s">
        <v>372</v>
      </c>
      <c r="D200" s="285">
        <v>155000</v>
      </c>
    </row>
    <row r="201" spans="1:4" ht="15" customHeight="1">
      <c r="A201" s="282" t="s">
        <v>145</v>
      </c>
      <c r="B201" s="283">
        <v>4210</v>
      </c>
      <c r="C201" s="284" t="s">
        <v>349</v>
      </c>
      <c r="D201" s="285">
        <v>3690000</v>
      </c>
    </row>
    <row r="202" spans="1:4" ht="15" customHeight="1">
      <c r="A202" s="282" t="s">
        <v>145</v>
      </c>
      <c r="B202" s="283">
        <v>4220</v>
      </c>
      <c r="C202" s="284" t="s">
        <v>350</v>
      </c>
      <c r="D202" s="285">
        <v>6000</v>
      </c>
    </row>
    <row r="203" spans="1:4" ht="15" customHeight="1">
      <c r="A203" s="282" t="s">
        <v>145</v>
      </c>
      <c r="B203" s="283">
        <v>4260</v>
      </c>
      <c r="C203" s="284" t="s">
        <v>351</v>
      </c>
      <c r="D203" s="285">
        <v>355000</v>
      </c>
    </row>
    <row r="204" spans="1:4" ht="15" customHeight="1">
      <c r="A204" s="282" t="s">
        <v>145</v>
      </c>
      <c r="B204" s="283">
        <v>4270</v>
      </c>
      <c r="C204" s="284" t="s">
        <v>352</v>
      </c>
      <c r="D204" s="285">
        <v>7814000</v>
      </c>
    </row>
    <row r="205" spans="1:4" ht="15" customHeight="1">
      <c r="A205" s="282" t="s">
        <v>145</v>
      </c>
      <c r="B205" s="283">
        <v>4280</v>
      </c>
      <c r="C205" s="284" t="s">
        <v>373</v>
      </c>
      <c r="D205" s="285">
        <v>16450</v>
      </c>
    </row>
    <row r="206" spans="1:4" ht="15" customHeight="1">
      <c r="A206" s="282" t="s">
        <v>145</v>
      </c>
      <c r="B206" s="283">
        <v>4300</v>
      </c>
      <c r="C206" s="284" t="s">
        <v>353</v>
      </c>
      <c r="D206" s="285">
        <v>12087000</v>
      </c>
    </row>
    <row r="207" spans="1:4" ht="15" customHeight="1">
      <c r="A207" s="282" t="s">
        <v>145</v>
      </c>
      <c r="B207" s="283">
        <v>4307</v>
      </c>
      <c r="C207" s="284" t="s">
        <v>353</v>
      </c>
      <c r="D207" s="285">
        <v>22664</v>
      </c>
    </row>
    <row r="208" spans="1:4" ht="15" customHeight="1">
      <c r="A208" s="282" t="s">
        <v>145</v>
      </c>
      <c r="B208" s="283">
        <v>4309</v>
      </c>
      <c r="C208" s="284" t="s">
        <v>353</v>
      </c>
      <c r="D208" s="285">
        <v>4000</v>
      </c>
    </row>
    <row r="209" spans="1:4" ht="15" customHeight="1">
      <c r="A209" s="282" t="s">
        <v>145</v>
      </c>
      <c r="B209" s="283">
        <v>4360</v>
      </c>
      <c r="C209" s="284" t="s">
        <v>354</v>
      </c>
      <c r="D209" s="285">
        <v>134400</v>
      </c>
    </row>
    <row r="210" spans="1:4" ht="15" customHeight="1">
      <c r="A210" s="282" t="s">
        <v>145</v>
      </c>
      <c r="B210" s="283">
        <v>4390</v>
      </c>
      <c r="C210" s="284" t="s">
        <v>374</v>
      </c>
      <c r="D210" s="285">
        <v>150000</v>
      </c>
    </row>
    <row r="211" spans="1:4" ht="15" customHeight="1">
      <c r="A211" s="282" t="s">
        <v>145</v>
      </c>
      <c r="B211" s="283">
        <v>4400</v>
      </c>
      <c r="C211" s="284" t="s">
        <v>356</v>
      </c>
      <c r="D211" s="285">
        <v>7000</v>
      </c>
    </row>
    <row r="212" spans="1:4" ht="15" customHeight="1">
      <c r="A212" s="282" t="s">
        <v>145</v>
      </c>
      <c r="B212" s="283">
        <v>4410</v>
      </c>
      <c r="C212" s="284" t="s">
        <v>357</v>
      </c>
      <c r="D212" s="285">
        <v>7000</v>
      </c>
    </row>
    <row r="213" spans="1:4" ht="15" customHeight="1">
      <c r="A213" s="282" t="s">
        <v>145</v>
      </c>
      <c r="B213" s="283">
        <v>4430</v>
      </c>
      <c r="C213" s="284" t="s">
        <v>359</v>
      </c>
      <c r="D213" s="285">
        <v>881364</v>
      </c>
    </row>
    <row r="214" spans="1:4" ht="15" customHeight="1">
      <c r="A214" s="282" t="s">
        <v>145</v>
      </c>
      <c r="B214" s="283">
        <v>4440</v>
      </c>
      <c r="C214" s="284" t="s">
        <v>375</v>
      </c>
      <c r="D214" s="285">
        <v>211031</v>
      </c>
    </row>
    <row r="215" spans="1:4" ht="15" customHeight="1">
      <c r="A215" s="286" t="s">
        <v>145</v>
      </c>
      <c r="B215" s="287">
        <v>4480</v>
      </c>
      <c r="C215" s="288" t="s">
        <v>376</v>
      </c>
      <c r="D215" s="289">
        <v>75000</v>
      </c>
    </row>
    <row r="216" spans="1:4" ht="15" customHeight="1">
      <c r="A216" s="290" t="s">
        <v>145</v>
      </c>
      <c r="B216" s="291">
        <v>4500</v>
      </c>
      <c r="C216" s="292" t="s">
        <v>377</v>
      </c>
      <c r="D216" s="293">
        <v>726</v>
      </c>
    </row>
    <row r="217" spans="1:4" ht="15" customHeight="1">
      <c r="A217" s="282" t="s">
        <v>145</v>
      </c>
      <c r="B217" s="283">
        <v>4510</v>
      </c>
      <c r="C217" s="284" t="s">
        <v>378</v>
      </c>
      <c r="D217" s="285">
        <v>7000</v>
      </c>
    </row>
    <row r="218" spans="1:4" ht="15" customHeight="1">
      <c r="A218" s="282" t="s">
        <v>145</v>
      </c>
      <c r="B218" s="283">
        <v>4520</v>
      </c>
      <c r="C218" s="284" t="s">
        <v>379</v>
      </c>
      <c r="D218" s="285">
        <v>578290</v>
      </c>
    </row>
    <row r="219" spans="1:4" ht="15" customHeight="1">
      <c r="A219" s="282" t="s">
        <v>145</v>
      </c>
      <c r="B219" s="283">
        <v>4700</v>
      </c>
      <c r="C219" s="284" t="s">
        <v>360</v>
      </c>
      <c r="D219" s="285">
        <v>16000</v>
      </c>
    </row>
    <row r="220" spans="1:4" ht="15" customHeight="1">
      <c r="A220" s="282" t="s">
        <v>145</v>
      </c>
      <c r="B220" s="283">
        <v>6050</v>
      </c>
      <c r="C220" s="284" t="s">
        <v>370</v>
      </c>
      <c r="D220" s="285">
        <v>45192950</v>
      </c>
    </row>
    <row r="221" spans="1:4" ht="15" customHeight="1">
      <c r="A221" s="282" t="s">
        <v>145</v>
      </c>
      <c r="B221" s="283">
        <v>6057</v>
      </c>
      <c r="C221" s="284" t="s">
        <v>370</v>
      </c>
      <c r="D221" s="285">
        <v>196244887</v>
      </c>
    </row>
    <row r="222" spans="1:4" ht="15" customHeight="1">
      <c r="A222" s="282" t="s">
        <v>145</v>
      </c>
      <c r="B222" s="283">
        <v>6059</v>
      </c>
      <c r="C222" s="284" t="s">
        <v>370</v>
      </c>
      <c r="D222" s="285">
        <v>37460594</v>
      </c>
    </row>
    <row r="223" spans="1:4" ht="15" customHeight="1">
      <c r="A223" s="282" t="s">
        <v>145</v>
      </c>
      <c r="B223" s="283">
        <v>6060</v>
      </c>
      <c r="C223" s="284" t="s">
        <v>380</v>
      </c>
      <c r="D223" s="285">
        <v>2000000</v>
      </c>
    </row>
    <row r="224" spans="1:4" ht="27" customHeight="1">
      <c r="A224" s="282" t="s">
        <v>145</v>
      </c>
      <c r="B224" s="283">
        <v>6619</v>
      </c>
      <c r="C224" s="284" t="s">
        <v>363</v>
      </c>
      <c r="D224" s="285">
        <v>466500</v>
      </c>
    </row>
    <row r="225" spans="1:4" ht="27" customHeight="1">
      <c r="A225" s="282" t="s">
        <v>145</v>
      </c>
      <c r="B225" s="283">
        <v>6629</v>
      </c>
      <c r="C225" s="284" t="s">
        <v>381</v>
      </c>
      <c r="D225" s="285">
        <v>589058</v>
      </c>
    </row>
    <row r="226" spans="1:4" s="277" customFormat="1" ht="15" customHeight="1">
      <c r="A226" s="278">
        <v>60014</v>
      </c>
      <c r="B226" s="279" t="s">
        <v>145</v>
      </c>
      <c r="C226" s="280" t="s">
        <v>258</v>
      </c>
      <c r="D226" s="281">
        <f>D227</f>
        <v>4800000</v>
      </c>
    </row>
    <row r="227" spans="1:4" ht="28.5" customHeight="1">
      <c r="A227" s="282" t="s">
        <v>145</v>
      </c>
      <c r="B227" s="283">
        <v>6300</v>
      </c>
      <c r="C227" s="284" t="s">
        <v>340</v>
      </c>
      <c r="D227" s="285">
        <v>4800000</v>
      </c>
    </row>
    <row r="228" spans="1:4" s="277" customFormat="1" ht="15" customHeight="1">
      <c r="A228" s="278">
        <v>60016</v>
      </c>
      <c r="B228" s="279" t="s">
        <v>145</v>
      </c>
      <c r="C228" s="280" t="s">
        <v>260</v>
      </c>
      <c r="D228" s="281">
        <f>D229</f>
        <v>150000</v>
      </c>
    </row>
    <row r="229" spans="1:4" ht="27.75" customHeight="1">
      <c r="A229" s="282" t="s">
        <v>145</v>
      </c>
      <c r="B229" s="283">
        <v>6300</v>
      </c>
      <c r="C229" s="284" t="s">
        <v>340</v>
      </c>
      <c r="D229" s="285">
        <v>150000</v>
      </c>
    </row>
    <row r="230" spans="1:4" s="277" customFormat="1" ht="15" customHeight="1">
      <c r="A230" s="278">
        <v>60095</v>
      </c>
      <c r="B230" s="279" t="s">
        <v>145</v>
      </c>
      <c r="C230" s="280" t="s">
        <v>130</v>
      </c>
      <c r="D230" s="281">
        <f>SUM(D231:D256)</f>
        <v>1174547</v>
      </c>
    </row>
    <row r="231" spans="1:4" ht="27.75" customHeight="1">
      <c r="A231" s="282" t="s">
        <v>145</v>
      </c>
      <c r="B231" s="283">
        <v>2330</v>
      </c>
      <c r="C231" s="284" t="s">
        <v>368</v>
      </c>
      <c r="D231" s="285">
        <v>50000</v>
      </c>
    </row>
    <row r="232" spans="1:4" ht="15" customHeight="1">
      <c r="A232" s="282" t="s">
        <v>145</v>
      </c>
      <c r="B232" s="283">
        <v>4010</v>
      </c>
      <c r="C232" s="284" t="s">
        <v>343</v>
      </c>
      <c r="D232" s="285">
        <v>111418</v>
      </c>
    </row>
    <row r="233" spans="1:4" ht="15" customHeight="1">
      <c r="A233" s="282" t="s">
        <v>145</v>
      </c>
      <c r="B233" s="283">
        <v>4018</v>
      </c>
      <c r="C233" s="284" t="s">
        <v>343</v>
      </c>
      <c r="D233" s="285">
        <v>27710</v>
      </c>
    </row>
    <row r="234" spans="1:4" ht="15" customHeight="1">
      <c r="A234" s="282" t="s">
        <v>145</v>
      </c>
      <c r="B234" s="283">
        <v>4019</v>
      </c>
      <c r="C234" s="284" t="s">
        <v>343</v>
      </c>
      <c r="D234" s="285">
        <v>4890</v>
      </c>
    </row>
    <row r="235" spans="1:4" ht="15" customHeight="1">
      <c r="A235" s="282" t="s">
        <v>145</v>
      </c>
      <c r="B235" s="283">
        <v>4040</v>
      </c>
      <c r="C235" s="284" t="s">
        <v>344</v>
      </c>
      <c r="D235" s="285">
        <v>16235</v>
      </c>
    </row>
    <row r="236" spans="1:4" ht="15" customHeight="1">
      <c r="A236" s="282" t="s">
        <v>145</v>
      </c>
      <c r="B236" s="283">
        <v>4048</v>
      </c>
      <c r="C236" s="284" t="s">
        <v>344</v>
      </c>
      <c r="D236" s="285">
        <v>12498</v>
      </c>
    </row>
    <row r="237" spans="1:4" ht="15" customHeight="1">
      <c r="A237" s="282" t="s">
        <v>145</v>
      </c>
      <c r="B237" s="283">
        <v>4049</v>
      </c>
      <c r="C237" s="284" t="s">
        <v>344</v>
      </c>
      <c r="D237" s="285">
        <v>2205</v>
      </c>
    </row>
    <row r="238" spans="1:4" ht="15" customHeight="1">
      <c r="A238" s="282" t="s">
        <v>145</v>
      </c>
      <c r="B238" s="283">
        <v>4110</v>
      </c>
      <c r="C238" s="284" t="s">
        <v>345</v>
      </c>
      <c r="D238" s="285">
        <v>21944</v>
      </c>
    </row>
    <row r="239" spans="1:4" ht="15" customHeight="1">
      <c r="A239" s="282" t="s">
        <v>145</v>
      </c>
      <c r="B239" s="283">
        <v>4118</v>
      </c>
      <c r="C239" s="284" t="s">
        <v>345</v>
      </c>
      <c r="D239" s="285">
        <v>6912</v>
      </c>
    </row>
    <row r="240" spans="1:4" ht="15" customHeight="1">
      <c r="A240" s="282" t="s">
        <v>145</v>
      </c>
      <c r="B240" s="283">
        <v>4119</v>
      </c>
      <c r="C240" s="284" t="s">
        <v>345</v>
      </c>
      <c r="D240" s="285">
        <v>1220</v>
      </c>
    </row>
    <row r="241" spans="1:4" ht="15" customHeight="1">
      <c r="A241" s="282" t="s">
        <v>145</v>
      </c>
      <c r="B241" s="283">
        <v>4120</v>
      </c>
      <c r="C241" s="284" t="s">
        <v>346</v>
      </c>
      <c r="D241" s="285">
        <v>3128</v>
      </c>
    </row>
    <row r="242" spans="1:4" ht="15" customHeight="1">
      <c r="A242" s="282" t="s">
        <v>145</v>
      </c>
      <c r="B242" s="283">
        <v>4128</v>
      </c>
      <c r="C242" s="284" t="s">
        <v>346</v>
      </c>
      <c r="D242" s="285">
        <v>985</v>
      </c>
    </row>
    <row r="243" spans="1:4" ht="15" customHeight="1">
      <c r="A243" s="282" t="s">
        <v>145</v>
      </c>
      <c r="B243" s="283">
        <v>4129</v>
      </c>
      <c r="C243" s="284" t="s">
        <v>346</v>
      </c>
      <c r="D243" s="285">
        <v>174</v>
      </c>
    </row>
    <row r="244" spans="1:4" ht="15" customHeight="1">
      <c r="A244" s="282" t="s">
        <v>145</v>
      </c>
      <c r="B244" s="283">
        <v>4210</v>
      </c>
      <c r="C244" s="284" t="s">
        <v>349</v>
      </c>
      <c r="D244" s="285">
        <v>2000</v>
      </c>
    </row>
    <row r="245" spans="1:4" ht="15" customHeight="1">
      <c r="A245" s="282" t="s">
        <v>145</v>
      </c>
      <c r="B245" s="283">
        <v>4300</v>
      </c>
      <c r="C245" s="284" t="s">
        <v>353</v>
      </c>
      <c r="D245" s="285">
        <v>161275</v>
      </c>
    </row>
    <row r="246" spans="1:4" ht="15" customHeight="1">
      <c r="A246" s="282" t="s">
        <v>145</v>
      </c>
      <c r="B246" s="283">
        <v>4308</v>
      </c>
      <c r="C246" s="284" t="s">
        <v>353</v>
      </c>
      <c r="D246" s="285">
        <v>190234</v>
      </c>
    </row>
    <row r="247" spans="1:4" ht="15" customHeight="1">
      <c r="A247" s="282" t="s">
        <v>145</v>
      </c>
      <c r="B247" s="283">
        <v>4309</v>
      </c>
      <c r="C247" s="284" t="s">
        <v>353</v>
      </c>
      <c r="D247" s="285">
        <v>33568</v>
      </c>
    </row>
    <row r="248" spans="1:4" ht="15" customHeight="1">
      <c r="A248" s="282" t="s">
        <v>145</v>
      </c>
      <c r="B248" s="283">
        <v>4410</v>
      </c>
      <c r="C248" s="284" t="s">
        <v>357</v>
      </c>
      <c r="D248" s="285">
        <v>2000</v>
      </c>
    </row>
    <row r="249" spans="1:4" ht="15" customHeight="1">
      <c r="A249" s="282" t="s">
        <v>145</v>
      </c>
      <c r="B249" s="283">
        <v>4418</v>
      </c>
      <c r="C249" s="284" t="s">
        <v>357</v>
      </c>
      <c r="D249" s="285">
        <v>850</v>
      </c>
    </row>
    <row r="250" spans="1:4" ht="15" customHeight="1">
      <c r="A250" s="282" t="s">
        <v>145</v>
      </c>
      <c r="B250" s="283">
        <v>4419</v>
      </c>
      <c r="C250" s="284" t="s">
        <v>357</v>
      </c>
      <c r="D250" s="285">
        <v>150</v>
      </c>
    </row>
    <row r="251" spans="1:4" ht="15" customHeight="1">
      <c r="A251" s="282" t="s">
        <v>145</v>
      </c>
      <c r="B251" s="283">
        <v>4428</v>
      </c>
      <c r="C251" s="284" t="s">
        <v>358</v>
      </c>
      <c r="D251" s="285">
        <v>4250</v>
      </c>
    </row>
    <row r="252" spans="1:4" ht="15" customHeight="1">
      <c r="A252" s="282" t="s">
        <v>145</v>
      </c>
      <c r="B252" s="283">
        <v>4429</v>
      </c>
      <c r="C252" s="284" t="s">
        <v>358</v>
      </c>
      <c r="D252" s="285">
        <v>750</v>
      </c>
    </row>
    <row r="253" spans="1:4" ht="15" customHeight="1">
      <c r="A253" s="282" t="s">
        <v>145</v>
      </c>
      <c r="B253" s="283">
        <v>4430</v>
      </c>
      <c r="C253" s="284" t="s">
        <v>359</v>
      </c>
      <c r="D253" s="285">
        <v>20000</v>
      </c>
    </row>
    <row r="254" spans="1:4" ht="15" customHeight="1">
      <c r="A254" s="282" t="s">
        <v>145</v>
      </c>
      <c r="B254" s="283">
        <v>4438</v>
      </c>
      <c r="C254" s="284" t="s">
        <v>359</v>
      </c>
      <c r="D254" s="285">
        <v>128</v>
      </c>
    </row>
    <row r="255" spans="1:4" ht="15" customHeight="1">
      <c r="A255" s="282" t="s">
        <v>145</v>
      </c>
      <c r="B255" s="283">
        <v>4439</v>
      </c>
      <c r="C255" s="284" t="s">
        <v>359</v>
      </c>
      <c r="D255" s="285">
        <v>23</v>
      </c>
    </row>
    <row r="256" spans="1:4" ht="15" customHeight="1">
      <c r="A256" s="282" t="s">
        <v>145</v>
      </c>
      <c r="B256" s="283">
        <v>6010</v>
      </c>
      <c r="C256" s="284" t="s">
        <v>382</v>
      </c>
      <c r="D256" s="285">
        <v>500000</v>
      </c>
    </row>
    <row r="257" spans="1:4" s="277" customFormat="1" ht="15" customHeight="1">
      <c r="A257" s="273" t="s">
        <v>172</v>
      </c>
      <c r="B257" s="274" t="s">
        <v>145</v>
      </c>
      <c r="C257" s="275" t="s">
        <v>173</v>
      </c>
      <c r="D257" s="276">
        <f>D258+D279</f>
        <v>1834637</v>
      </c>
    </row>
    <row r="258" spans="1:4" s="277" customFormat="1" ht="15" customHeight="1">
      <c r="A258" s="278">
        <v>63003</v>
      </c>
      <c r="B258" s="279" t="s">
        <v>145</v>
      </c>
      <c r="C258" s="280" t="s">
        <v>208</v>
      </c>
      <c r="D258" s="281">
        <f>SUM(D259:D278)</f>
        <v>649819</v>
      </c>
    </row>
    <row r="259" spans="1:4" ht="39" customHeight="1">
      <c r="A259" s="282" t="s">
        <v>145</v>
      </c>
      <c r="B259" s="283">
        <v>2360</v>
      </c>
      <c r="C259" s="284" t="s">
        <v>383</v>
      </c>
      <c r="D259" s="285">
        <v>150000</v>
      </c>
    </row>
    <row r="260" spans="1:4" ht="15" customHeight="1">
      <c r="A260" s="282" t="s">
        <v>145</v>
      </c>
      <c r="B260" s="283">
        <v>4018</v>
      </c>
      <c r="C260" s="284" t="s">
        <v>343</v>
      </c>
      <c r="D260" s="285">
        <v>4279</v>
      </c>
    </row>
    <row r="261" spans="1:4" ht="15" customHeight="1">
      <c r="A261" s="282" t="s">
        <v>145</v>
      </c>
      <c r="B261" s="283">
        <v>4019</v>
      </c>
      <c r="C261" s="284" t="s">
        <v>343</v>
      </c>
      <c r="D261" s="285">
        <v>1426</v>
      </c>
    </row>
    <row r="262" spans="1:4" ht="15" customHeight="1">
      <c r="A262" s="282" t="s">
        <v>145</v>
      </c>
      <c r="B262" s="283">
        <v>4118</v>
      </c>
      <c r="C262" s="284" t="s">
        <v>345</v>
      </c>
      <c r="D262" s="285">
        <v>735</v>
      </c>
    </row>
    <row r="263" spans="1:4" ht="15" customHeight="1">
      <c r="A263" s="282" t="s">
        <v>145</v>
      </c>
      <c r="B263" s="283">
        <v>4119</v>
      </c>
      <c r="C263" s="284" t="s">
        <v>345</v>
      </c>
      <c r="D263" s="285">
        <v>245</v>
      </c>
    </row>
    <row r="264" spans="1:4" ht="15" customHeight="1">
      <c r="A264" s="282" t="s">
        <v>145</v>
      </c>
      <c r="B264" s="283">
        <v>4128</v>
      </c>
      <c r="C264" s="284" t="s">
        <v>346</v>
      </c>
      <c r="D264" s="285">
        <v>104</v>
      </c>
    </row>
    <row r="265" spans="1:4" ht="15" customHeight="1">
      <c r="A265" s="282" t="s">
        <v>145</v>
      </c>
      <c r="B265" s="283">
        <v>4129</v>
      </c>
      <c r="C265" s="284" t="s">
        <v>346</v>
      </c>
      <c r="D265" s="285">
        <v>35</v>
      </c>
    </row>
    <row r="266" spans="1:4" ht="15" customHeight="1">
      <c r="A266" s="282" t="s">
        <v>145</v>
      </c>
      <c r="B266" s="283">
        <v>4170</v>
      </c>
      <c r="C266" s="284" t="s">
        <v>347</v>
      </c>
      <c r="D266" s="285">
        <v>3000</v>
      </c>
    </row>
    <row r="267" spans="1:4" ht="15" customHeight="1">
      <c r="A267" s="282" t="s">
        <v>145</v>
      </c>
      <c r="B267" s="283">
        <v>4210</v>
      </c>
      <c r="C267" s="284" t="s">
        <v>349</v>
      </c>
      <c r="D267" s="285">
        <v>2000</v>
      </c>
    </row>
    <row r="268" spans="1:4" ht="15" customHeight="1">
      <c r="A268" s="286" t="s">
        <v>145</v>
      </c>
      <c r="B268" s="287">
        <v>4300</v>
      </c>
      <c r="C268" s="288" t="s">
        <v>353</v>
      </c>
      <c r="D268" s="289">
        <v>51250</v>
      </c>
    </row>
    <row r="269" spans="1:4" ht="15" customHeight="1">
      <c r="A269" s="290" t="s">
        <v>145</v>
      </c>
      <c r="B269" s="291">
        <v>4308</v>
      </c>
      <c r="C269" s="292" t="s">
        <v>353</v>
      </c>
      <c r="D269" s="293">
        <v>4184</v>
      </c>
    </row>
    <row r="270" spans="1:4" ht="15" customHeight="1">
      <c r="A270" s="282" t="s">
        <v>145</v>
      </c>
      <c r="B270" s="283">
        <v>4309</v>
      </c>
      <c r="C270" s="284" t="s">
        <v>353</v>
      </c>
      <c r="D270" s="285">
        <v>1394</v>
      </c>
    </row>
    <row r="271" spans="1:4" ht="15" customHeight="1">
      <c r="A271" s="282" t="s">
        <v>145</v>
      </c>
      <c r="B271" s="283">
        <v>4388</v>
      </c>
      <c r="C271" s="284" t="s">
        <v>355</v>
      </c>
      <c r="D271" s="285">
        <v>3125</v>
      </c>
    </row>
    <row r="272" spans="1:4" ht="15" customHeight="1">
      <c r="A272" s="282" t="s">
        <v>145</v>
      </c>
      <c r="B272" s="283">
        <v>4389</v>
      </c>
      <c r="C272" s="284" t="s">
        <v>355</v>
      </c>
      <c r="D272" s="285">
        <v>1042</v>
      </c>
    </row>
    <row r="273" spans="1:4" ht="15" customHeight="1">
      <c r="A273" s="282" t="s">
        <v>145</v>
      </c>
      <c r="B273" s="283">
        <v>4428</v>
      </c>
      <c r="C273" s="284" t="s">
        <v>358</v>
      </c>
      <c r="D273" s="285">
        <v>3675</v>
      </c>
    </row>
    <row r="274" spans="1:4" ht="15" customHeight="1">
      <c r="A274" s="282" t="s">
        <v>145</v>
      </c>
      <c r="B274" s="283">
        <v>4429</v>
      </c>
      <c r="C274" s="284" t="s">
        <v>358</v>
      </c>
      <c r="D274" s="285">
        <v>1225</v>
      </c>
    </row>
    <row r="275" spans="1:4" ht="15" customHeight="1">
      <c r="A275" s="282" t="s">
        <v>145</v>
      </c>
      <c r="B275" s="283">
        <v>4430</v>
      </c>
      <c r="C275" s="284" t="s">
        <v>359</v>
      </c>
      <c r="D275" s="285">
        <v>400000</v>
      </c>
    </row>
    <row r="276" spans="1:4" ht="15" customHeight="1">
      <c r="A276" s="282" t="s">
        <v>145</v>
      </c>
      <c r="B276" s="283">
        <v>4438</v>
      </c>
      <c r="C276" s="284" t="s">
        <v>359</v>
      </c>
      <c r="D276" s="285">
        <v>75</v>
      </c>
    </row>
    <row r="277" spans="1:4" ht="15" customHeight="1">
      <c r="A277" s="282" t="s">
        <v>145</v>
      </c>
      <c r="B277" s="283">
        <v>4439</v>
      </c>
      <c r="C277" s="284" t="s">
        <v>359</v>
      </c>
      <c r="D277" s="285">
        <v>25</v>
      </c>
    </row>
    <row r="278" spans="1:4" ht="15" customHeight="1">
      <c r="A278" s="282" t="s">
        <v>145</v>
      </c>
      <c r="B278" s="283">
        <v>4540</v>
      </c>
      <c r="C278" s="284" t="s">
        <v>366</v>
      </c>
      <c r="D278" s="285">
        <v>22000</v>
      </c>
    </row>
    <row r="279" spans="1:4" s="277" customFormat="1" ht="15" customHeight="1">
      <c r="A279" s="278">
        <v>63095</v>
      </c>
      <c r="B279" s="279" t="s">
        <v>145</v>
      </c>
      <c r="C279" s="280" t="s">
        <v>130</v>
      </c>
      <c r="D279" s="281">
        <f>SUM(D280:D304)</f>
        <v>1184818</v>
      </c>
    </row>
    <row r="280" spans="1:4" ht="40.5" customHeight="1">
      <c r="A280" s="282" t="s">
        <v>145</v>
      </c>
      <c r="B280" s="283">
        <v>2008</v>
      </c>
      <c r="C280" s="284" t="s">
        <v>341</v>
      </c>
      <c r="D280" s="285">
        <v>122400</v>
      </c>
    </row>
    <row r="281" spans="1:4" ht="15" customHeight="1">
      <c r="A281" s="282" t="s">
        <v>145</v>
      </c>
      <c r="B281" s="283">
        <v>4010</v>
      </c>
      <c r="C281" s="284" t="s">
        <v>343</v>
      </c>
      <c r="D281" s="285">
        <v>121133</v>
      </c>
    </row>
    <row r="282" spans="1:4" ht="15" customHeight="1">
      <c r="A282" s="282" t="s">
        <v>145</v>
      </c>
      <c r="B282" s="283">
        <v>4018</v>
      </c>
      <c r="C282" s="284" t="s">
        <v>343</v>
      </c>
      <c r="D282" s="285">
        <v>320219</v>
      </c>
    </row>
    <row r="283" spans="1:4" ht="15" customHeight="1">
      <c r="A283" s="282" t="s">
        <v>145</v>
      </c>
      <c r="B283" s="283">
        <v>4019</v>
      </c>
      <c r="C283" s="284" t="s">
        <v>343</v>
      </c>
      <c r="D283" s="285">
        <v>56509</v>
      </c>
    </row>
    <row r="284" spans="1:4" ht="15" customHeight="1">
      <c r="A284" s="282" t="s">
        <v>145</v>
      </c>
      <c r="B284" s="283">
        <v>4040</v>
      </c>
      <c r="C284" s="284" t="s">
        <v>344</v>
      </c>
      <c r="D284" s="285">
        <v>17450</v>
      </c>
    </row>
    <row r="285" spans="1:4" ht="15" customHeight="1">
      <c r="A285" s="282" t="s">
        <v>145</v>
      </c>
      <c r="B285" s="283">
        <v>4048</v>
      </c>
      <c r="C285" s="284" t="s">
        <v>344</v>
      </c>
      <c r="D285" s="285">
        <v>9596</v>
      </c>
    </row>
    <row r="286" spans="1:4" ht="15" customHeight="1">
      <c r="A286" s="282" t="s">
        <v>145</v>
      </c>
      <c r="B286" s="283">
        <v>4049</v>
      </c>
      <c r="C286" s="284" t="s">
        <v>344</v>
      </c>
      <c r="D286" s="285">
        <v>1694</v>
      </c>
    </row>
    <row r="287" spans="1:4" ht="15" customHeight="1">
      <c r="A287" s="282" t="s">
        <v>145</v>
      </c>
      <c r="B287" s="283">
        <v>4110</v>
      </c>
      <c r="C287" s="284" t="s">
        <v>345</v>
      </c>
      <c r="D287" s="285">
        <v>25593</v>
      </c>
    </row>
    <row r="288" spans="1:4" ht="15" customHeight="1">
      <c r="A288" s="282" t="s">
        <v>145</v>
      </c>
      <c r="B288" s="283">
        <v>4118</v>
      </c>
      <c r="C288" s="284" t="s">
        <v>345</v>
      </c>
      <c r="D288" s="285">
        <v>56695</v>
      </c>
    </row>
    <row r="289" spans="1:4" ht="15" customHeight="1">
      <c r="A289" s="282" t="s">
        <v>145</v>
      </c>
      <c r="B289" s="283">
        <v>4119</v>
      </c>
      <c r="C289" s="284" t="s">
        <v>345</v>
      </c>
      <c r="D289" s="285">
        <v>10005</v>
      </c>
    </row>
    <row r="290" spans="1:4" ht="15" customHeight="1">
      <c r="A290" s="282" t="s">
        <v>145</v>
      </c>
      <c r="B290" s="283">
        <v>4120</v>
      </c>
      <c r="C290" s="284" t="s">
        <v>346</v>
      </c>
      <c r="D290" s="285">
        <v>3824</v>
      </c>
    </row>
    <row r="291" spans="1:4" ht="15" customHeight="1">
      <c r="A291" s="282" t="s">
        <v>145</v>
      </c>
      <c r="B291" s="283">
        <v>4128</v>
      </c>
      <c r="C291" s="284" t="s">
        <v>346</v>
      </c>
      <c r="D291" s="285">
        <v>8079</v>
      </c>
    </row>
    <row r="292" spans="1:4" ht="15" customHeight="1">
      <c r="A292" s="282" t="s">
        <v>145</v>
      </c>
      <c r="B292" s="283">
        <v>4129</v>
      </c>
      <c r="C292" s="284" t="s">
        <v>346</v>
      </c>
      <c r="D292" s="285">
        <v>1426</v>
      </c>
    </row>
    <row r="293" spans="1:4" ht="15" customHeight="1">
      <c r="A293" s="282" t="s">
        <v>145</v>
      </c>
      <c r="B293" s="283">
        <v>4218</v>
      </c>
      <c r="C293" s="284" t="s">
        <v>349</v>
      </c>
      <c r="D293" s="285">
        <v>17000</v>
      </c>
    </row>
    <row r="294" spans="1:4" ht="15" customHeight="1">
      <c r="A294" s="282" t="s">
        <v>145</v>
      </c>
      <c r="B294" s="283">
        <v>4219</v>
      </c>
      <c r="C294" s="284" t="s">
        <v>349</v>
      </c>
      <c r="D294" s="285">
        <v>3000</v>
      </c>
    </row>
    <row r="295" spans="1:4" ht="15" customHeight="1">
      <c r="A295" s="282" t="s">
        <v>145</v>
      </c>
      <c r="B295" s="283">
        <v>4308</v>
      </c>
      <c r="C295" s="284" t="s">
        <v>353</v>
      </c>
      <c r="D295" s="285">
        <v>256152</v>
      </c>
    </row>
    <row r="296" spans="1:4" ht="15" customHeight="1">
      <c r="A296" s="282" t="s">
        <v>145</v>
      </c>
      <c r="B296" s="283">
        <v>4309</v>
      </c>
      <c r="C296" s="284" t="s">
        <v>353</v>
      </c>
      <c r="D296" s="285">
        <v>45202</v>
      </c>
    </row>
    <row r="297" spans="1:4" ht="15" customHeight="1">
      <c r="A297" s="282" t="s">
        <v>145</v>
      </c>
      <c r="B297" s="283">
        <v>4388</v>
      </c>
      <c r="C297" s="284" t="s">
        <v>355</v>
      </c>
      <c r="D297" s="285">
        <v>12750</v>
      </c>
    </row>
    <row r="298" spans="1:4" ht="15" customHeight="1">
      <c r="A298" s="282" t="s">
        <v>145</v>
      </c>
      <c r="B298" s="283">
        <v>4389</v>
      </c>
      <c r="C298" s="284" t="s">
        <v>355</v>
      </c>
      <c r="D298" s="285">
        <v>2250</v>
      </c>
    </row>
    <row r="299" spans="1:4" ht="15" customHeight="1">
      <c r="A299" s="282" t="s">
        <v>145</v>
      </c>
      <c r="B299" s="283">
        <v>4418</v>
      </c>
      <c r="C299" s="284" t="s">
        <v>357</v>
      </c>
      <c r="D299" s="285">
        <v>2295</v>
      </c>
    </row>
    <row r="300" spans="1:4" ht="15" customHeight="1">
      <c r="A300" s="282" t="s">
        <v>145</v>
      </c>
      <c r="B300" s="283">
        <v>4419</v>
      </c>
      <c r="C300" s="284" t="s">
        <v>357</v>
      </c>
      <c r="D300" s="285">
        <v>405</v>
      </c>
    </row>
    <row r="301" spans="1:4" ht="15" customHeight="1">
      <c r="A301" s="282" t="s">
        <v>145</v>
      </c>
      <c r="B301" s="283">
        <v>4428</v>
      </c>
      <c r="C301" s="284" t="s">
        <v>358</v>
      </c>
      <c r="D301" s="285">
        <v>76449</v>
      </c>
    </row>
    <row r="302" spans="1:4" ht="15" customHeight="1">
      <c r="A302" s="282" t="s">
        <v>145</v>
      </c>
      <c r="B302" s="283">
        <v>4429</v>
      </c>
      <c r="C302" s="284" t="s">
        <v>358</v>
      </c>
      <c r="D302" s="285">
        <v>13492</v>
      </c>
    </row>
    <row r="303" spans="1:4" ht="15" customHeight="1">
      <c r="A303" s="282" t="s">
        <v>145</v>
      </c>
      <c r="B303" s="283">
        <v>4438</v>
      </c>
      <c r="C303" s="284" t="s">
        <v>359</v>
      </c>
      <c r="D303" s="285">
        <v>1020</v>
      </c>
    </row>
    <row r="304" spans="1:4" ht="15" customHeight="1">
      <c r="A304" s="282" t="s">
        <v>145</v>
      </c>
      <c r="B304" s="283">
        <v>4439</v>
      </c>
      <c r="C304" s="284" t="s">
        <v>359</v>
      </c>
      <c r="D304" s="285">
        <v>180</v>
      </c>
    </row>
    <row r="305" spans="1:4" s="277" customFormat="1" ht="15" customHeight="1">
      <c r="A305" s="273" t="s">
        <v>82</v>
      </c>
      <c r="B305" s="274" t="s">
        <v>145</v>
      </c>
      <c r="C305" s="275" t="s">
        <v>83</v>
      </c>
      <c r="D305" s="276">
        <f>D306</f>
        <v>1639900</v>
      </c>
    </row>
    <row r="306" spans="1:4" s="277" customFormat="1" ht="15" customHeight="1">
      <c r="A306" s="278">
        <v>70005</v>
      </c>
      <c r="B306" s="279" t="s">
        <v>145</v>
      </c>
      <c r="C306" s="280" t="s">
        <v>137</v>
      </c>
      <c r="D306" s="281">
        <f>SUM(D307:D317)</f>
        <v>1639900</v>
      </c>
    </row>
    <row r="307" spans="1:4" ht="15" customHeight="1">
      <c r="A307" s="282" t="s">
        <v>145</v>
      </c>
      <c r="B307" s="283">
        <v>4210</v>
      </c>
      <c r="C307" s="284" t="s">
        <v>349</v>
      </c>
      <c r="D307" s="285">
        <v>3000</v>
      </c>
    </row>
    <row r="308" spans="1:4" ht="15" customHeight="1">
      <c r="A308" s="282" t="s">
        <v>145</v>
      </c>
      <c r="B308" s="283">
        <v>4260</v>
      </c>
      <c r="C308" s="284" t="s">
        <v>351</v>
      </c>
      <c r="D308" s="285">
        <v>100000</v>
      </c>
    </row>
    <row r="309" spans="1:4" ht="15" customHeight="1">
      <c r="A309" s="282" t="s">
        <v>145</v>
      </c>
      <c r="B309" s="283">
        <v>4270</v>
      </c>
      <c r="C309" s="284" t="s">
        <v>352</v>
      </c>
      <c r="D309" s="285">
        <v>22500</v>
      </c>
    </row>
    <row r="310" spans="1:4" ht="15" customHeight="1">
      <c r="A310" s="282" t="s">
        <v>145</v>
      </c>
      <c r="B310" s="283">
        <v>4300</v>
      </c>
      <c r="C310" s="284" t="s">
        <v>353</v>
      </c>
      <c r="D310" s="285">
        <v>230700</v>
      </c>
    </row>
    <row r="311" spans="1:4" ht="15" customHeight="1">
      <c r="A311" s="282" t="s">
        <v>145</v>
      </c>
      <c r="B311" s="283">
        <v>4430</v>
      </c>
      <c r="C311" s="284" t="s">
        <v>359</v>
      </c>
      <c r="D311" s="285">
        <v>25000</v>
      </c>
    </row>
    <row r="312" spans="1:4" ht="15" customHeight="1">
      <c r="A312" s="282" t="s">
        <v>145</v>
      </c>
      <c r="B312" s="283">
        <v>4480</v>
      </c>
      <c r="C312" s="284" t="s">
        <v>376</v>
      </c>
      <c r="D312" s="285">
        <v>80000</v>
      </c>
    </row>
    <row r="313" spans="1:4" ht="15" customHeight="1">
      <c r="A313" s="282" t="s">
        <v>145</v>
      </c>
      <c r="B313" s="283">
        <v>4500</v>
      </c>
      <c r="C313" s="284" t="s">
        <v>377</v>
      </c>
      <c r="D313" s="285">
        <v>1000</v>
      </c>
    </row>
    <row r="314" spans="1:4" ht="15" customHeight="1">
      <c r="A314" s="282" t="s">
        <v>145</v>
      </c>
      <c r="B314" s="283">
        <v>4510</v>
      </c>
      <c r="C314" s="284" t="s">
        <v>378</v>
      </c>
      <c r="D314" s="285">
        <v>15000</v>
      </c>
    </row>
    <row r="315" spans="1:4" ht="15" customHeight="1">
      <c r="A315" s="282" t="s">
        <v>145</v>
      </c>
      <c r="B315" s="283">
        <v>4520</v>
      </c>
      <c r="C315" s="284" t="s">
        <v>379</v>
      </c>
      <c r="D315" s="285">
        <v>40000</v>
      </c>
    </row>
    <row r="316" spans="1:4" ht="15" customHeight="1">
      <c r="A316" s="282" t="s">
        <v>145</v>
      </c>
      <c r="B316" s="283">
        <v>4530</v>
      </c>
      <c r="C316" s="284" t="s">
        <v>365</v>
      </c>
      <c r="D316" s="285">
        <v>5300</v>
      </c>
    </row>
    <row r="317" spans="1:4" ht="15" customHeight="1">
      <c r="A317" s="282" t="s">
        <v>145</v>
      </c>
      <c r="B317" s="283">
        <v>6050</v>
      </c>
      <c r="C317" s="284" t="s">
        <v>370</v>
      </c>
      <c r="D317" s="285">
        <v>1117400</v>
      </c>
    </row>
    <row r="318" spans="1:4" s="277" customFormat="1" ht="15" customHeight="1">
      <c r="A318" s="273" t="s">
        <v>84</v>
      </c>
      <c r="B318" s="274" t="s">
        <v>145</v>
      </c>
      <c r="C318" s="275" t="s">
        <v>85</v>
      </c>
      <c r="D318" s="276">
        <f>D319+D338+D343+D350</f>
        <v>4861054</v>
      </c>
    </row>
    <row r="319" spans="1:4" s="277" customFormat="1" ht="15" customHeight="1">
      <c r="A319" s="278">
        <v>71003</v>
      </c>
      <c r="B319" s="279" t="s">
        <v>145</v>
      </c>
      <c r="C319" s="280" t="s">
        <v>138</v>
      </c>
      <c r="D319" s="281">
        <f>SUM(D320:D337)</f>
        <v>4422054</v>
      </c>
    </row>
    <row r="320" spans="1:4" ht="15" customHeight="1">
      <c r="A320" s="282" t="s">
        <v>145</v>
      </c>
      <c r="B320" s="283">
        <v>3020</v>
      </c>
      <c r="C320" s="284" t="s">
        <v>371</v>
      </c>
      <c r="D320" s="285">
        <v>2300</v>
      </c>
    </row>
    <row r="321" spans="1:4" ht="15" customHeight="1">
      <c r="A321" s="282" t="s">
        <v>145</v>
      </c>
      <c r="B321" s="283">
        <v>4010</v>
      </c>
      <c r="C321" s="284" t="s">
        <v>343</v>
      </c>
      <c r="D321" s="285">
        <v>3012860</v>
      </c>
    </row>
    <row r="322" spans="1:4" ht="15" customHeight="1">
      <c r="A322" s="282" t="s">
        <v>145</v>
      </c>
      <c r="B322" s="283">
        <v>4040</v>
      </c>
      <c r="C322" s="284" t="s">
        <v>344</v>
      </c>
      <c r="D322" s="285">
        <v>231851</v>
      </c>
    </row>
    <row r="323" spans="1:4" ht="15" customHeight="1">
      <c r="A323" s="282" t="s">
        <v>145</v>
      </c>
      <c r="B323" s="283">
        <v>4110</v>
      </c>
      <c r="C323" s="284" t="s">
        <v>345</v>
      </c>
      <c r="D323" s="285">
        <v>517908</v>
      </c>
    </row>
    <row r="324" spans="1:4" ht="15" customHeight="1">
      <c r="A324" s="282" t="s">
        <v>145</v>
      </c>
      <c r="B324" s="283">
        <v>4120</v>
      </c>
      <c r="C324" s="284" t="s">
        <v>346</v>
      </c>
      <c r="D324" s="285">
        <v>56581</v>
      </c>
    </row>
    <row r="325" spans="1:4" ht="15" customHeight="1">
      <c r="A325" s="286" t="s">
        <v>145</v>
      </c>
      <c r="B325" s="287">
        <v>4140</v>
      </c>
      <c r="C325" s="288" t="s">
        <v>372</v>
      </c>
      <c r="D325" s="289">
        <v>60500</v>
      </c>
    </row>
    <row r="326" spans="1:4" ht="15" customHeight="1">
      <c r="A326" s="290" t="s">
        <v>145</v>
      </c>
      <c r="B326" s="291">
        <v>4170</v>
      </c>
      <c r="C326" s="292" t="s">
        <v>347</v>
      </c>
      <c r="D326" s="293">
        <v>6000</v>
      </c>
    </row>
    <row r="327" spans="1:4" ht="15" customHeight="1">
      <c r="A327" s="282" t="s">
        <v>145</v>
      </c>
      <c r="B327" s="283">
        <v>4210</v>
      </c>
      <c r="C327" s="284" t="s">
        <v>349</v>
      </c>
      <c r="D327" s="285">
        <v>101300</v>
      </c>
    </row>
    <row r="328" spans="1:4" ht="15" customHeight="1">
      <c r="A328" s="282" t="s">
        <v>145</v>
      </c>
      <c r="B328" s="283">
        <v>4260</v>
      </c>
      <c r="C328" s="284" t="s">
        <v>351</v>
      </c>
      <c r="D328" s="285">
        <v>73000</v>
      </c>
    </row>
    <row r="329" spans="1:4" ht="15" customHeight="1">
      <c r="A329" s="282" t="s">
        <v>145</v>
      </c>
      <c r="B329" s="283">
        <v>4270</v>
      </c>
      <c r="C329" s="284" t="s">
        <v>352</v>
      </c>
      <c r="D329" s="285">
        <v>122000</v>
      </c>
    </row>
    <row r="330" spans="1:4" ht="15" customHeight="1">
      <c r="A330" s="282" t="s">
        <v>145</v>
      </c>
      <c r="B330" s="283">
        <v>4280</v>
      </c>
      <c r="C330" s="284" t="s">
        <v>373</v>
      </c>
      <c r="D330" s="285">
        <v>2500</v>
      </c>
    </row>
    <row r="331" spans="1:4" ht="15" customHeight="1">
      <c r="A331" s="282" t="s">
        <v>145</v>
      </c>
      <c r="B331" s="283">
        <v>4300</v>
      </c>
      <c r="C331" s="284" t="s">
        <v>353</v>
      </c>
      <c r="D331" s="285">
        <v>60500</v>
      </c>
    </row>
    <row r="332" spans="1:4" ht="15" customHeight="1">
      <c r="A332" s="282" t="s">
        <v>145</v>
      </c>
      <c r="B332" s="283">
        <v>4360</v>
      </c>
      <c r="C332" s="284" t="s">
        <v>354</v>
      </c>
      <c r="D332" s="285">
        <v>71500</v>
      </c>
    </row>
    <row r="333" spans="1:4" ht="15" customHeight="1">
      <c r="A333" s="282" t="s">
        <v>145</v>
      </c>
      <c r="B333" s="283">
        <v>4410</v>
      </c>
      <c r="C333" s="284" t="s">
        <v>357</v>
      </c>
      <c r="D333" s="285">
        <v>9000</v>
      </c>
    </row>
    <row r="334" spans="1:4" ht="15" customHeight="1">
      <c r="A334" s="282" t="s">
        <v>145</v>
      </c>
      <c r="B334" s="283">
        <v>4430</v>
      </c>
      <c r="C334" s="284" t="s">
        <v>359</v>
      </c>
      <c r="D334" s="285">
        <v>8000</v>
      </c>
    </row>
    <row r="335" spans="1:4" ht="15" customHeight="1">
      <c r="A335" s="282" t="s">
        <v>145</v>
      </c>
      <c r="B335" s="283">
        <v>4440</v>
      </c>
      <c r="C335" s="284" t="s">
        <v>375</v>
      </c>
      <c r="D335" s="285">
        <v>65154</v>
      </c>
    </row>
    <row r="336" spans="1:4" ht="15" customHeight="1">
      <c r="A336" s="282" t="s">
        <v>145</v>
      </c>
      <c r="B336" s="283">
        <v>4520</v>
      </c>
      <c r="C336" s="284" t="s">
        <v>379</v>
      </c>
      <c r="D336" s="285">
        <v>14600</v>
      </c>
    </row>
    <row r="337" spans="1:4" ht="15" customHeight="1">
      <c r="A337" s="282" t="s">
        <v>145</v>
      </c>
      <c r="B337" s="283">
        <v>4700</v>
      </c>
      <c r="C337" s="284" t="s">
        <v>360</v>
      </c>
      <c r="D337" s="285">
        <v>6500</v>
      </c>
    </row>
    <row r="338" spans="1:4" s="277" customFormat="1" ht="15" customHeight="1">
      <c r="A338" s="278">
        <v>71004</v>
      </c>
      <c r="B338" s="279" t="s">
        <v>145</v>
      </c>
      <c r="C338" s="280" t="s">
        <v>267</v>
      </c>
      <c r="D338" s="281">
        <f>SUM(D339:D342)</f>
        <v>23000</v>
      </c>
    </row>
    <row r="339" spans="1:4" ht="15" customHeight="1">
      <c r="A339" s="282" t="s">
        <v>145</v>
      </c>
      <c r="B339" s="283">
        <v>4110</v>
      </c>
      <c r="C339" s="284" t="s">
        <v>345</v>
      </c>
      <c r="D339" s="285">
        <v>200</v>
      </c>
    </row>
    <row r="340" spans="1:4" ht="15" customHeight="1">
      <c r="A340" s="282" t="s">
        <v>145</v>
      </c>
      <c r="B340" s="283">
        <v>4170</v>
      </c>
      <c r="C340" s="284" t="s">
        <v>347</v>
      </c>
      <c r="D340" s="285">
        <v>5400</v>
      </c>
    </row>
    <row r="341" spans="1:4" ht="15" customHeight="1">
      <c r="A341" s="282" t="s">
        <v>145</v>
      </c>
      <c r="B341" s="283">
        <v>4210</v>
      </c>
      <c r="C341" s="284" t="s">
        <v>349</v>
      </c>
      <c r="D341" s="285">
        <v>2500</v>
      </c>
    </row>
    <row r="342" spans="1:4" ht="15" customHeight="1">
      <c r="A342" s="282" t="s">
        <v>145</v>
      </c>
      <c r="B342" s="283">
        <v>4300</v>
      </c>
      <c r="C342" s="284" t="s">
        <v>353</v>
      </c>
      <c r="D342" s="285">
        <v>14900</v>
      </c>
    </row>
    <row r="343" spans="1:4" s="277" customFormat="1" ht="15" customHeight="1">
      <c r="A343" s="278">
        <v>71005</v>
      </c>
      <c r="B343" s="279" t="s">
        <v>145</v>
      </c>
      <c r="C343" s="280" t="s">
        <v>139</v>
      </c>
      <c r="D343" s="281">
        <f>SUM(D344:D349)</f>
        <v>244000</v>
      </c>
    </row>
    <row r="344" spans="1:4" ht="15" customHeight="1">
      <c r="A344" s="282" t="s">
        <v>145</v>
      </c>
      <c r="B344" s="283">
        <v>4010</v>
      </c>
      <c r="C344" s="284" t="s">
        <v>343</v>
      </c>
      <c r="D344" s="285">
        <v>166205</v>
      </c>
    </row>
    <row r="345" spans="1:4" ht="15" customHeight="1">
      <c r="A345" s="282" t="s">
        <v>145</v>
      </c>
      <c r="B345" s="283">
        <v>4040</v>
      </c>
      <c r="C345" s="284" t="s">
        <v>344</v>
      </c>
      <c r="D345" s="285">
        <v>12665</v>
      </c>
    </row>
    <row r="346" spans="1:4" ht="15" customHeight="1">
      <c r="A346" s="282" t="s">
        <v>145</v>
      </c>
      <c r="B346" s="283">
        <v>4110</v>
      </c>
      <c r="C346" s="284" t="s">
        <v>345</v>
      </c>
      <c r="D346" s="285">
        <v>30748</v>
      </c>
    </row>
    <row r="347" spans="1:4" ht="15" customHeight="1">
      <c r="A347" s="282" t="s">
        <v>145</v>
      </c>
      <c r="B347" s="283">
        <v>4120</v>
      </c>
      <c r="C347" s="284" t="s">
        <v>346</v>
      </c>
      <c r="D347" s="285">
        <v>4382</v>
      </c>
    </row>
    <row r="348" spans="1:4" ht="15" customHeight="1">
      <c r="A348" s="282" t="s">
        <v>145</v>
      </c>
      <c r="B348" s="283">
        <v>4210</v>
      </c>
      <c r="C348" s="284" t="s">
        <v>349</v>
      </c>
      <c r="D348" s="285">
        <v>1000</v>
      </c>
    </row>
    <row r="349" spans="1:4" ht="15" customHeight="1">
      <c r="A349" s="282" t="s">
        <v>145</v>
      </c>
      <c r="B349" s="283">
        <v>4300</v>
      </c>
      <c r="C349" s="284" t="s">
        <v>353</v>
      </c>
      <c r="D349" s="285">
        <v>29000</v>
      </c>
    </row>
    <row r="350" spans="1:4" s="277" customFormat="1" ht="15" customHeight="1">
      <c r="A350" s="278">
        <v>71012</v>
      </c>
      <c r="B350" s="279" t="s">
        <v>145</v>
      </c>
      <c r="C350" s="280" t="s">
        <v>160</v>
      </c>
      <c r="D350" s="281">
        <f>SUM(D351:D356)</f>
        <v>172000</v>
      </c>
    </row>
    <row r="351" spans="1:4" ht="15" customHeight="1">
      <c r="A351" s="282" t="s">
        <v>145</v>
      </c>
      <c r="B351" s="283">
        <v>4210</v>
      </c>
      <c r="C351" s="284" t="s">
        <v>349</v>
      </c>
      <c r="D351" s="285">
        <v>12500</v>
      </c>
    </row>
    <row r="352" spans="1:4" ht="15" customHeight="1">
      <c r="A352" s="282" t="s">
        <v>145</v>
      </c>
      <c r="B352" s="283">
        <v>4270</v>
      </c>
      <c r="C352" s="284" t="s">
        <v>352</v>
      </c>
      <c r="D352" s="285">
        <v>4000</v>
      </c>
    </row>
    <row r="353" spans="1:4" ht="15" customHeight="1">
      <c r="A353" s="282" t="s">
        <v>145</v>
      </c>
      <c r="B353" s="283">
        <v>4300</v>
      </c>
      <c r="C353" s="284" t="s">
        <v>353</v>
      </c>
      <c r="D353" s="285">
        <v>134000</v>
      </c>
    </row>
    <row r="354" spans="1:4" ht="15" customHeight="1">
      <c r="A354" s="282" t="s">
        <v>145</v>
      </c>
      <c r="B354" s="283">
        <v>4410</v>
      </c>
      <c r="C354" s="284" t="s">
        <v>357</v>
      </c>
      <c r="D354" s="285">
        <v>500</v>
      </c>
    </row>
    <row r="355" spans="1:4" ht="15" customHeight="1">
      <c r="A355" s="282" t="s">
        <v>145</v>
      </c>
      <c r="B355" s="283">
        <v>4700</v>
      </c>
      <c r="C355" s="284" t="s">
        <v>360</v>
      </c>
      <c r="D355" s="285">
        <v>7000</v>
      </c>
    </row>
    <row r="356" spans="1:4" ht="15" customHeight="1">
      <c r="A356" s="282" t="s">
        <v>145</v>
      </c>
      <c r="B356" s="283">
        <v>6060</v>
      </c>
      <c r="C356" s="284" t="s">
        <v>380</v>
      </c>
      <c r="D356" s="285">
        <v>14000</v>
      </c>
    </row>
    <row r="357" spans="1:4" s="277" customFormat="1" ht="15" customHeight="1">
      <c r="A357" s="273" t="s">
        <v>86</v>
      </c>
      <c r="B357" s="274" t="s">
        <v>145</v>
      </c>
      <c r="C357" s="275" t="s">
        <v>87</v>
      </c>
      <c r="D357" s="276">
        <f>D358</f>
        <v>75878487</v>
      </c>
    </row>
    <row r="358" spans="1:4" s="277" customFormat="1" ht="15" customHeight="1">
      <c r="A358" s="278">
        <v>72095</v>
      </c>
      <c r="B358" s="279" t="s">
        <v>145</v>
      </c>
      <c r="C358" s="280" t="s">
        <v>130</v>
      </c>
      <c r="D358" s="281">
        <f>SUM(D359:D396)</f>
        <v>75878487</v>
      </c>
    </row>
    <row r="359" spans="1:4" ht="15" customHeight="1">
      <c r="A359" s="282" t="s">
        <v>145</v>
      </c>
      <c r="B359" s="283">
        <v>4017</v>
      </c>
      <c r="C359" s="284" t="s">
        <v>343</v>
      </c>
      <c r="D359" s="285">
        <v>1268858</v>
      </c>
    </row>
    <row r="360" spans="1:4" ht="15" customHeight="1">
      <c r="A360" s="282" t="s">
        <v>145</v>
      </c>
      <c r="B360" s="283">
        <v>4019</v>
      </c>
      <c r="C360" s="284" t="s">
        <v>343</v>
      </c>
      <c r="D360" s="285">
        <v>223917</v>
      </c>
    </row>
    <row r="361" spans="1:4" ht="15" customHeight="1">
      <c r="A361" s="282" t="s">
        <v>145</v>
      </c>
      <c r="B361" s="283">
        <v>4047</v>
      </c>
      <c r="C361" s="284" t="s">
        <v>344</v>
      </c>
      <c r="D361" s="285">
        <v>135940</v>
      </c>
    </row>
    <row r="362" spans="1:4" ht="15" customHeight="1">
      <c r="A362" s="282" t="s">
        <v>145</v>
      </c>
      <c r="B362" s="283">
        <v>4049</v>
      </c>
      <c r="C362" s="284" t="s">
        <v>344</v>
      </c>
      <c r="D362" s="285">
        <v>23990</v>
      </c>
    </row>
    <row r="363" spans="1:4" ht="15" customHeight="1">
      <c r="A363" s="282" t="s">
        <v>145</v>
      </c>
      <c r="B363" s="283">
        <v>4117</v>
      </c>
      <c r="C363" s="284" t="s">
        <v>345</v>
      </c>
      <c r="D363" s="285">
        <v>293260</v>
      </c>
    </row>
    <row r="364" spans="1:4" ht="15" customHeight="1">
      <c r="A364" s="282" t="s">
        <v>145</v>
      </c>
      <c r="B364" s="283">
        <v>4119</v>
      </c>
      <c r="C364" s="284" t="s">
        <v>345</v>
      </c>
      <c r="D364" s="285">
        <v>51752</v>
      </c>
    </row>
    <row r="365" spans="1:4" ht="15" customHeight="1">
      <c r="A365" s="282" t="s">
        <v>145</v>
      </c>
      <c r="B365" s="283">
        <v>4127</v>
      </c>
      <c r="C365" s="284" t="s">
        <v>346</v>
      </c>
      <c r="D365" s="285">
        <v>41796</v>
      </c>
    </row>
    <row r="366" spans="1:4" ht="15" customHeight="1">
      <c r="A366" s="282" t="s">
        <v>145</v>
      </c>
      <c r="B366" s="283">
        <v>4129</v>
      </c>
      <c r="C366" s="284" t="s">
        <v>346</v>
      </c>
      <c r="D366" s="285">
        <v>7375</v>
      </c>
    </row>
    <row r="367" spans="1:4" ht="15" customHeight="1">
      <c r="A367" s="282" t="s">
        <v>145</v>
      </c>
      <c r="B367" s="283">
        <v>4177</v>
      </c>
      <c r="C367" s="284" t="s">
        <v>347</v>
      </c>
      <c r="D367" s="285">
        <v>481870</v>
      </c>
    </row>
    <row r="368" spans="1:4" ht="15" customHeight="1">
      <c r="A368" s="282" t="s">
        <v>145</v>
      </c>
      <c r="B368" s="283">
        <v>4179</v>
      </c>
      <c r="C368" s="284" t="s">
        <v>347</v>
      </c>
      <c r="D368" s="285">
        <v>85036</v>
      </c>
    </row>
    <row r="369" spans="1:4" ht="15" customHeight="1">
      <c r="A369" s="282" t="s">
        <v>145</v>
      </c>
      <c r="B369" s="283">
        <v>4217</v>
      </c>
      <c r="C369" s="284" t="s">
        <v>349</v>
      </c>
      <c r="D369" s="285">
        <v>126737</v>
      </c>
    </row>
    <row r="370" spans="1:4" ht="15" customHeight="1">
      <c r="A370" s="282" t="s">
        <v>145</v>
      </c>
      <c r="B370" s="283">
        <v>4219</v>
      </c>
      <c r="C370" s="284" t="s">
        <v>349</v>
      </c>
      <c r="D370" s="285">
        <v>22366</v>
      </c>
    </row>
    <row r="371" spans="1:4" ht="15" customHeight="1">
      <c r="A371" s="282" t="s">
        <v>145</v>
      </c>
      <c r="B371" s="283">
        <v>4227</v>
      </c>
      <c r="C371" s="284" t="s">
        <v>350</v>
      </c>
      <c r="D371" s="285">
        <v>15592</v>
      </c>
    </row>
    <row r="372" spans="1:4" ht="15" customHeight="1">
      <c r="A372" s="282" t="s">
        <v>145</v>
      </c>
      <c r="B372" s="283">
        <v>4229</v>
      </c>
      <c r="C372" s="284" t="s">
        <v>350</v>
      </c>
      <c r="D372" s="285">
        <v>2752</v>
      </c>
    </row>
    <row r="373" spans="1:4" ht="15" customHeight="1">
      <c r="A373" s="282" t="s">
        <v>145</v>
      </c>
      <c r="B373" s="283">
        <v>4260</v>
      </c>
      <c r="C373" s="284" t="s">
        <v>351</v>
      </c>
      <c r="D373" s="285">
        <v>13350</v>
      </c>
    </row>
    <row r="374" spans="1:4" ht="15" customHeight="1">
      <c r="A374" s="282" t="s">
        <v>145</v>
      </c>
      <c r="B374" s="283">
        <v>4267</v>
      </c>
      <c r="C374" s="284" t="s">
        <v>351</v>
      </c>
      <c r="D374" s="285">
        <v>50095</v>
      </c>
    </row>
    <row r="375" spans="1:4" ht="15" customHeight="1">
      <c r="A375" s="282" t="s">
        <v>145</v>
      </c>
      <c r="B375" s="283">
        <v>4269</v>
      </c>
      <c r="C375" s="284" t="s">
        <v>351</v>
      </c>
      <c r="D375" s="285">
        <v>8840</v>
      </c>
    </row>
    <row r="376" spans="1:4" ht="15" customHeight="1">
      <c r="A376" s="282" t="s">
        <v>145</v>
      </c>
      <c r="B376" s="283">
        <v>4300</v>
      </c>
      <c r="C376" s="284" t="s">
        <v>353</v>
      </c>
      <c r="D376" s="285">
        <v>854673</v>
      </c>
    </row>
    <row r="377" spans="1:4" ht="15" customHeight="1">
      <c r="A377" s="282" t="s">
        <v>145</v>
      </c>
      <c r="B377" s="283">
        <v>4307</v>
      </c>
      <c r="C377" s="284" t="s">
        <v>353</v>
      </c>
      <c r="D377" s="285">
        <v>697000</v>
      </c>
    </row>
    <row r="378" spans="1:4" ht="15" customHeight="1">
      <c r="A378" s="282" t="s">
        <v>145</v>
      </c>
      <c r="B378" s="283">
        <v>4309</v>
      </c>
      <c r="C378" s="284" t="s">
        <v>353</v>
      </c>
      <c r="D378" s="285">
        <v>123000</v>
      </c>
    </row>
    <row r="379" spans="1:4" ht="15" customHeight="1">
      <c r="A379" s="282" t="s">
        <v>145</v>
      </c>
      <c r="B379" s="283">
        <v>4360</v>
      </c>
      <c r="C379" s="284" t="s">
        <v>354</v>
      </c>
      <c r="D379" s="285">
        <v>1337970</v>
      </c>
    </row>
    <row r="380" spans="1:4" ht="15" customHeight="1">
      <c r="A380" s="282" t="s">
        <v>145</v>
      </c>
      <c r="B380" s="283">
        <v>4367</v>
      </c>
      <c r="C380" s="284" t="s">
        <v>354</v>
      </c>
      <c r="D380" s="285">
        <v>11050</v>
      </c>
    </row>
    <row r="381" spans="1:4" ht="15" customHeight="1">
      <c r="A381" s="282" t="s">
        <v>145</v>
      </c>
      <c r="B381" s="283">
        <v>4369</v>
      </c>
      <c r="C381" s="284" t="s">
        <v>354</v>
      </c>
      <c r="D381" s="285">
        <v>1950</v>
      </c>
    </row>
    <row r="382" spans="1:4" ht="15" customHeight="1">
      <c r="A382" s="282" t="s">
        <v>145</v>
      </c>
      <c r="B382" s="283">
        <v>4397</v>
      </c>
      <c r="C382" s="284" t="s">
        <v>374</v>
      </c>
      <c r="D382" s="285">
        <v>85000</v>
      </c>
    </row>
    <row r="383" spans="1:4" ht="15" customHeight="1">
      <c r="A383" s="286" t="s">
        <v>145</v>
      </c>
      <c r="B383" s="287">
        <v>4399</v>
      </c>
      <c r="C383" s="288" t="s">
        <v>374</v>
      </c>
      <c r="D383" s="289">
        <v>15000</v>
      </c>
    </row>
    <row r="384" spans="1:4" ht="15" customHeight="1">
      <c r="A384" s="290" t="s">
        <v>145</v>
      </c>
      <c r="B384" s="291">
        <v>4400</v>
      </c>
      <c r="C384" s="292" t="s">
        <v>356</v>
      </c>
      <c r="D384" s="293">
        <v>33890</v>
      </c>
    </row>
    <row r="385" spans="1:4" ht="15" customHeight="1">
      <c r="A385" s="282" t="s">
        <v>145</v>
      </c>
      <c r="B385" s="283">
        <v>4407</v>
      </c>
      <c r="C385" s="284" t="s">
        <v>356</v>
      </c>
      <c r="D385" s="285">
        <v>171020</v>
      </c>
    </row>
    <row r="386" spans="1:4" ht="15" customHeight="1">
      <c r="A386" s="282" t="s">
        <v>145</v>
      </c>
      <c r="B386" s="283">
        <v>4409</v>
      </c>
      <c r="C386" s="284" t="s">
        <v>356</v>
      </c>
      <c r="D386" s="285">
        <v>30180</v>
      </c>
    </row>
    <row r="387" spans="1:4" ht="15" customHeight="1">
      <c r="A387" s="282" t="s">
        <v>145</v>
      </c>
      <c r="B387" s="283">
        <v>4430</v>
      </c>
      <c r="C387" s="284" t="s">
        <v>359</v>
      </c>
      <c r="D387" s="285">
        <v>256900</v>
      </c>
    </row>
    <row r="388" spans="1:4" ht="15" customHeight="1">
      <c r="A388" s="282" t="s">
        <v>145</v>
      </c>
      <c r="B388" s="283">
        <v>4510</v>
      </c>
      <c r="C388" s="284" t="s">
        <v>378</v>
      </c>
      <c r="D388" s="285">
        <v>123760</v>
      </c>
    </row>
    <row r="389" spans="1:4" ht="15" customHeight="1">
      <c r="A389" s="282" t="s">
        <v>145</v>
      </c>
      <c r="B389" s="283">
        <v>6010</v>
      </c>
      <c r="C389" s="284" t="s">
        <v>382</v>
      </c>
      <c r="D389" s="285">
        <v>2219731</v>
      </c>
    </row>
    <row r="390" spans="1:4" ht="15" customHeight="1">
      <c r="A390" s="282" t="s">
        <v>145</v>
      </c>
      <c r="B390" s="283">
        <v>6057</v>
      </c>
      <c r="C390" s="284" t="s">
        <v>370</v>
      </c>
      <c r="D390" s="285">
        <v>3801892</v>
      </c>
    </row>
    <row r="391" spans="1:4" ht="15" customHeight="1">
      <c r="A391" s="282" t="s">
        <v>145</v>
      </c>
      <c r="B391" s="283">
        <v>6059</v>
      </c>
      <c r="C391" s="284" t="s">
        <v>370</v>
      </c>
      <c r="D391" s="285">
        <v>454513</v>
      </c>
    </row>
    <row r="392" spans="1:4" ht="15" customHeight="1">
      <c r="A392" s="282" t="s">
        <v>145</v>
      </c>
      <c r="B392" s="283">
        <v>6067</v>
      </c>
      <c r="C392" s="284" t="s">
        <v>380</v>
      </c>
      <c r="D392" s="285">
        <v>395477</v>
      </c>
    </row>
    <row r="393" spans="1:4" ht="15" customHeight="1">
      <c r="A393" s="282" t="s">
        <v>145</v>
      </c>
      <c r="B393" s="283">
        <v>6069</v>
      </c>
      <c r="C393" s="284" t="s">
        <v>380</v>
      </c>
      <c r="D393" s="285">
        <v>69790</v>
      </c>
    </row>
    <row r="394" spans="1:4" ht="40.5" customHeight="1">
      <c r="A394" s="282" t="s">
        <v>145</v>
      </c>
      <c r="B394" s="283">
        <v>6207</v>
      </c>
      <c r="C394" s="284" t="s">
        <v>384</v>
      </c>
      <c r="D394" s="285">
        <v>26334270</v>
      </c>
    </row>
    <row r="395" spans="1:4" ht="28.5" customHeight="1">
      <c r="A395" s="282" t="s">
        <v>145</v>
      </c>
      <c r="B395" s="283">
        <v>6229</v>
      </c>
      <c r="C395" s="284" t="s">
        <v>385</v>
      </c>
      <c r="D395" s="285">
        <v>779472</v>
      </c>
    </row>
    <row r="396" spans="1:4" ht="39.75" customHeight="1">
      <c r="A396" s="282" t="s">
        <v>145</v>
      </c>
      <c r="B396" s="283">
        <v>6257</v>
      </c>
      <c r="C396" s="284" t="s">
        <v>148</v>
      </c>
      <c r="D396" s="285">
        <v>35228423</v>
      </c>
    </row>
    <row r="397" spans="1:4" s="277" customFormat="1" ht="15" customHeight="1">
      <c r="A397" s="273" t="s">
        <v>88</v>
      </c>
      <c r="B397" s="274" t="s">
        <v>145</v>
      </c>
      <c r="C397" s="275" t="s">
        <v>89</v>
      </c>
      <c r="D397" s="276">
        <f>D398+D411+D488+D502+D545+D555</f>
        <v>109705609</v>
      </c>
    </row>
    <row r="398" spans="1:4" s="277" customFormat="1" ht="15" customHeight="1">
      <c r="A398" s="278">
        <v>75017</v>
      </c>
      <c r="B398" s="279" t="s">
        <v>145</v>
      </c>
      <c r="C398" s="280" t="s">
        <v>272</v>
      </c>
      <c r="D398" s="281">
        <f>SUM(D399:D410)</f>
        <v>1438180</v>
      </c>
    </row>
    <row r="399" spans="1:4" ht="15" customHeight="1">
      <c r="A399" s="282" t="s">
        <v>145</v>
      </c>
      <c r="B399" s="283">
        <v>3030</v>
      </c>
      <c r="C399" s="284" t="s">
        <v>386</v>
      </c>
      <c r="D399" s="285">
        <v>1100000</v>
      </c>
    </row>
    <row r="400" spans="1:4" ht="15" customHeight="1">
      <c r="A400" s="282" t="s">
        <v>145</v>
      </c>
      <c r="B400" s="283">
        <v>4170</v>
      </c>
      <c r="C400" s="284" t="s">
        <v>347</v>
      </c>
      <c r="D400" s="285">
        <v>55000</v>
      </c>
    </row>
    <row r="401" spans="1:4" ht="15" customHeight="1">
      <c r="A401" s="282" t="s">
        <v>145</v>
      </c>
      <c r="B401" s="283">
        <v>4190</v>
      </c>
      <c r="C401" s="284" t="s">
        <v>348</v>
      </c>
      <c r="D401" s="285">
        <v>18000</v>
      </c>
    </row>
    <row r="402" spans="1:4" ht="15" customHeight="1">
      <c r="A402" s="282" t="s">
        <v>145</v>
      </c>
      <c r="B402" s="283">
        <v>4210</v>
      </c>
      <c r="C402" s="284" t="s">
        <v>349</v>
      </c>
      <c r="D402" s="285">
        <v>40000</v>
      </c>
    </row>
    <row r="403" spans="1:4" ht="15" customHeight="1">
      <c r="A403" s="282" t="s">
        <v>145</v>
      </c>
      <c r="B403" s="283">
        <v>4220</v>
      </c>
      <c r="C403" s="284" t="s">
        <v>350</v>
      </c>
      <c r="D403" s="285">
        <v>20000</v>
      </c>
    </row>
    <row r="404" spans="1:4" ht="15" customHeight="1">
      <c r="A404" s="282" t="s">
        <v>145</v>
      </c>
      <c r="B404" s="283">
        <v>4270</v>
      </c>
      <c r="C404" s="284" t="s">
        <v>352</v>
      </c>
      <c r="D404" s="285">
        <v>4000</v>
      </c>
    </row>
    <row r="405" spans="1:4" ht="15" customHeight="1">
      <c r="A405" s="282" t="s">
        <v>145</v>
      </c>
      <c r="B405" s="283">
        <v>4300</v>
      </c>
      <c r="C405" s="284" t="s">
        <v>353</v>
      </c>
      <c r="D405" s="285">
        <v>165000</v>
      </c>
    </row>
    <row r="406" spans="1:4" ht="15" customHeight="1">
      <c r="A406" s="282" t="s">
        <v>145</v>
      </c>
      <c r="B406" s="283">
        <v>4360</v>
      </c>
      <c r="C406" s="284" t="s">
        <v>354</v>
      </c>
      <c r="D406" s="285">
        <v>15180</v>
      </c>
    </row>
    <row r="407" spans="1:4" ht="15" customHeight="1">
      <c r="A407" s="282" t="s">
        <v>145</v>
      </c>
      <c r="B407" s="283">
        <v>4380</v>
      </c>
      <c r="C407" s="284" t="s">
        <v>355</v>
      </c>
      <c r="D407" s="285">
        <v>4000</v>
      </c>
    </row>
    <row r="408" spans="1:4" ht="15" customHeight="1">
      <c r="A408" s="282" t="s">
        <v>145</v>
      </c>
      <c r="B408" s="283">
        <v>4410</v>
      </c>
      <c r="C408" s="284" t="s">
        <v>357</v>
      </c>
      <c r="D408" s="285">
        <v>5000</v>
      </c>
    </row>
    <row r="409" spans="1:4" ht="15" customHeight="1">
      <c r="A409" s="282" t="s">
        <v>145</v>
      </c>
      <c r="B409" s="283">
        <v>4420</v>
      </c>
      <c r="C409" s="284" t="s">
        <v>358</v>
      </c>
      <c r="D409" s="285">
        <v>10000</v>
      </c>
    </row>
    <row r="410" spans="1:4" ht="15" customHeight="1">
      <c r="A410" s="282" t="s">
        <v>145</v>
      </c>
      <c r="B410" s="283">
        <v>4430</v>
      </c>
      <c r="C410" s="284" t="s">
        <v>359</v>
      </c>
      <c r="D410" s="285">
        <v>2000</v>
      </c>
    </row>
    <row r="411" spans="1:4" s="277" customFormat="1" ht="15" customHeight="1">
      <c r="A411" s="278">
        <v>75018</v>
      </c>
      <c r="B411" s="279" t="s">
        <v>145</v>
      </c>
      <c r="C411" s="280" t="s">
        <v>109</v>
      </c>
      <c r="D411" s="281">
        <f>SUM(D412:D487)</f>
        <v>77946432</v>
      </c>
    </row>
    <row r="412" spans="1:4" ht="15" customHeight="1">
      <c r="A412" s="282" t="s">
        <v>145</v>
      </c>
      <c r="B412" s="283">
        <v>3020</v>
      </c>
      <c r="C412" s="284" t="s">
        <v>371</v>
      </c>
      <c r="D412" s="285">
        <v>35000</v>
      </c>
    </row>
    <row r="413" spans="1:4" ht="15" customHeight="1">
      <c r="A413" s="282" t="s">
        <v>145</v>
      </c>
      <c r="B413" s="283">
        <v>3028</v>
      </c>
      <c r="C413" s="284" t="s">
        <v>371</v>
      </c>
      <c r="D413" s="285">
        <v>8500</v>
      </c>
    </row>
    <row r="414" spans="1:4" ht="15" customHeight="1">
      <c r="A414" s="282" t="s">
        <v>145</v>
      </c>
      <c r="B414" s="283">
        <v>3029</v>
      </c>
      <c r="C414" s="284" t="s">
        <v>371</v>
      </c>
      <c r="D414" s="285">
        <v>1500</v>
      </c>
    </row>
    <row r="415" spans="1:4" ht="15" customHeight="1">
      <c r="A415" s="282" t="s">
        <v>145</v>
      </c>
      <c r="B415" s="283">
        <v>3038</v>
      </c>
      <c r="C415" s="284" t="s">
        <v>386</v>
      </c>
      <c r="D415" s="285">
        <v>17000</v>
      </c>
    </row>
    <row r="416" spans="1:4" ht="15" customHeight="1">
      <c r="A416" s="282" t="s">
        <v>145</v>
      </c>
      <c r="B416" s="283">
        <v>3039</v>
      </c>
      <c r="C416" s="284" t="s">
        <v>386</v>
      </c>
      <c r="D416" s="285">
        <v>3000</v>
      </c>
    </row>
    <row r="417" spans="1:4" ht="15" customHeight="1">
      <c r="A417" s="282" t="s">
        <v>145</v>
      </c>
      <c r="B417" s="283">
        <v>4010</v>
      </c>
      <c r="C417" s="284" t="s">
        <v>343</v>
      </c>
      <c r="D417" s="285">
        <v>25069000</v>
      </c>
    </row>
    <row r="418" spans="1:4" ht="15" customHeight="1">
      <c r="A418" s="282" t="s">
        <v>145</v>
      </c>
      <c r="B418" s="283">
        <v>4018</v>
      </c>
      <c r="C418" s="284" t="s">
        <v>343</v>
      </c>
      <c r="D418" s="285">
        <v>18667250</v>
      </c>
    </row>
    <row r="419" spans="1:4" ht="15" customHeight="1">
      <c r="A419" s="282" t="s">
        <v>145</v>
      </c>
      <c r="B419" s="283">
        <v>4019</v>
      </c>
      <c r="C419" s="284" t="s">
        <v>343</v>
      </c>
      <c r="D419" s="285">
        <v>3294220</v>
      </c>
    </row>
    <row r="420" spans="1:4" ht="15" customHeight="1">
      <c r="A420" s="282" t="s">
        <v>145</v>
      </c>
      <c r="B420" s="283">
        <v>4040</v>
      </c>
      <c r="C420" s="284" t="s">
        <v>344</v>
      </c>
      <c r="D420" s="285">
        <v>2100000</v>
      </c>
    </row>
    <row r="421" spans="1:4" ht="15" customHeight="1">
      <c r="A421" s="282" t="s">
        <v>145</v>
      </c>
      <c r="B421" s="283">
        <v>4048</v>
      </c>
      <c r="C421" s="284" t="s">
        <v>344</v>
      </c>
      <c r="D421" s="285">
        <v>1559750</v>
      </c>
    </row>
    <row r="422" spans="1:4" ht="15" customHeight="1">
      <c r="A422" s="282" t="s">
        <v>145</v>
      </c>
      <c r="B422" s="283">
        <v>4049</v>
      </c>
      <c r="C422" s="284" t="s">
        <v>344</v>
      </c>
      <c r="D422" s="285">
        <v>275250</v>
      </c>
    </row>
    <row r="423" spans="1:4" ht="15" customHeight="1">
      <c r="A423" s="282" t="s">
        <v>145</v>
      </c>
      <c r="B423" s="283">
        <v>4110</v>
      </c>
      <c r="C423" s="284" t="s">
        <v>345</v>
      </c>
      <c r="D423" s="285">
        <v>4516000</v>
      </c>
    </row>
    <row r="424" spans="1:4" ht="15" customHeight="1">
      <c r="A424" s="282" t="s">
        <v>145</v>
      </c>
      <c r="B424" s="283">
        <v>4118</v>
      </c>
      <c r="C424" s="284" t="s">
        <v>345</v>
      </c>
      <c r="D424" s="285">
        <v>3145000</v>
      </c>
    </row>
    <row r="425" spans="1:4" ht="15" customHeight="1">
      <c r="A425" s="282" t="s">
        <v>145</v>
      </c>
      <c r="B425" s="283">
        <v>4119</v>
      </c>
      <c r="C425" s="284" t="s">
        <v>345</v>
      </c>
      <c r="D425" s="285">
        <v>555000</v>
      </c>
    </row>
    <row r="426" spans="1:4" ht="15" customHeight="1">
      <c r="A426" s="282" t="s">
        <v>145</v>
      </c>
      <c r="B426" s="283">
        <v>4120</v>
      </c>
      <c r="C426" s="284" t="s">
        <v>346</v>
      </c>
      <c r="D426" s="285">
        <v>537000</v>
      </c>
    </row>
    <row r="427" spans="1:4" ht="15" customHeight="1">
      <c r="A427" s="282" t="s">
        <v>145</v>
      </c>
      <c r="B427" s="283">
        <v>4128</v>
      </c>
      <c r="C427" s="284" t="s">
        <v>346</v>
      </c>
      <c r="D427" s="285">
        <v>476000</v>
      </c>
    </row>
    <row r="428" spans="1:4" ht="15" customHeight="1">
      <c r="A428" s="282" t="s">
        <v>145</v>
      </c>
      <c r="B428" s="283">
        <v>4129</v>
      </c>
      <c r="C428" s="284" t="s">
        <v>346</v>
      </c>
      <c r="D428" s="285">
        <v>84000</v>
      </c>
    </row>
    <row r="429" spans="1:4" ht="15" customHeight="1">
      <c r="A429" s="282" t="s">
        <v>145</v>
      </c>
      <c r="B429" s="283">
        <v>4140</v>
      </c>
      <c r="C429" s="284" t="s">
        <v>372</v>
      </c>
      <c r="D429" s="285">
        <v>370000</v>
      </c>
    </row>
    <row r="430" spans="1:4" ht="15" customHeight="1">
      <c r="A430" s="282" t="s">
        <v>145</v>
      </c>
      <c r="B430" s="283">
        <v>4170</v>
      </c>
      <c r="C430" s="284" t="s">
        <v>347</v>
      </c>
      <c r="D430" s="285">
        <v>250000</v>
      </c>
    </row>
    <row r="431" spans="1:4" ht="15" customHeight="1">
      <c r="A431" s="282" t="s">
        <v>145</v>
      </c>
      <c r="B431" s="283">
        <v>4178</v>
      </c>
      <c r="C431" s="284" t="s">
        <v>347</v>
      </c>
      <c r="D431" s="285">
        <v>703273</v>
      </c>
    </row>
    <row r="432" spans="1:4" ht="15" customHeight="1">
      <c r="A432" s="282" t="s">
        <v>145</v>
      </c>
      <c r="B432" s="283">
        <v>4179</v>
      </c>
      <c r="C432" s="284" t="s">
        <v>347</v>
      </c>
      <c r="D432" s="285">
        <v>124107</v>
      </c>
    </row>
    <row r="433" spans="1:4" ht="15" customHeight="1">
      <c r="A433" s="282" t="s">
        <v>145</v>
      </c>
      <c r="B433" s="283">
        <v>4198</v>
      </c>
      <c r="C433" s="284" t="s">
        <v>348</v>
      </c>
      <c r="D433" s="285">
        <v>29750</v>
      </c>
    </row>
    <row r="434" spans="1:4" ht="15" customHeight="1">
      <c r="A434" s="282" t="s">
        <v>145</v>
      </c>
      <c r="B434" s="283">
        <v>4199</v>
      </c>
      <c r="C434" s="284" t="s">
        <v>348</v>
      </c>
      <c r="D434" s="285">
        <v>5250</v>
      </c>
    </row>
    <row r="435" spans="1:4" ht="15" customHeight="1">
      <c r="A435" s="282" t="s">
        <v>145</v>
      </c>
      <c r="B435" s="283">
        <v>4210</v>
      </c>
      <c r="C435" s="284" t="s">
        <v>349</v>
      </c>
      <c r="D435" s="285">
        <v>1606745</v>
      </c>
    </row>
    <row r="436" spans="1:4" ht="15" customHeight="1">
      <c r="A436" s="282" t="s">
        <v>145</v>
      </c>
      <c r="B436" s="283">
        <v>4218</v>
      </c>
      <c r="C436" s="284" t="s">
        <v>349</v>
      </c>
      <c r="D436" s="285">
        <v>862580</v>
      </c>
    </row>
    <row r="437" spans="1:4" ht="15" customHeight="1">
      <c r="A437" s="286" t="s">
        <v>145</v>
      </c>
      <c r="B437" s="287">
        <v>4219</v>
      </c>
      <c r="C437" s="288" t="s">
        <v>349</v>
      </c>
      <c r="D437" s="289">
        <v>152220</v>
      </c>
    </row>
    <row r="438" spans="1:4" ht="15" customHeight="1">
      <c r="A438" s="290" t="s">
        <v>145</v>
      </c>
      <c r="B438" s="291">
        <v>4220</v>
      </c>
      <c r="C438" s="292" t="s">
        <v>350</v>
      </c>
      <c r="D438" s="293">
        <v>60000</v>
      </c>
    </row>
    <row r="439" spans="1:4" ht="15" customHeight="1">
      <c r="A439" s="282" t="s">
        <v>145</v>
      </c>
      <c r="B439" s="283">
        <v>4228</v>
      </c>
      <c r="C439" s="284" t="s">
        <v>350</v>
      </c>
      <c r="D439" s="285">
        <v>21250</v>
      </c>
    </row>
    <row r="440" spans="1:4" ht="15" customHeight="1">
      <c r="A440" s="282" t="s">
        <v>145</v>
      </c>
      <c r="B440" s="283">
        <v>4229</v>
      </c>
      <c r="C440" s="284" t="s">
        <v>350</v>
      </c>
      <c r="D440" s="285">
        <v>3750</v>
      </c>
    </row>
    <row r="441" spans="1:4" ht="15" customHeight="1">
      <c r="A441" s="282" t="s">
        <v>145</v>
      </c>
      <c r="B441" s="283">
        <v>4260</v>
      </c>
      <c r="C441" s="284" t="s">
        <v>351</v>
      </c>
      <c r="D441" s="285">
        <v>750000</v>
      </c>
    </row>
    <row r="442" spans="1:4" ht="15" customHeight="1">
      <c r="A442" s="282" t="s">
        <v>145</v>
      </c>
      <c r="B442" s="283">
        <v>4268</v>
      </c>
      <c r="C442" s="284" t="s">
        <v>351</v>
      </c>
      <c r="D442" s="285">
        <v>581400</v>
      </c>
    </row>
    <row r="443" spans="1:4" ht="15" customHeight="1">
      <c r="A443" s="282" t="s">
        <v>145</v>
      </c>
      <c r="B443" s="283">
        <v>4269</v>
      </c>
      <c r="C443" s="284" t="s">
        <v>351</v>
      </c>
      <c r="D443" s="285">
        <v>102600</v>
      </c>
    </row>
    <row r="444" spans="1:4" ht="15" customHeight="1">
      <c r="A444" s="282" t="s">
        <v>145</v>
      </c>
      <c r="B444" s="283">
        <v>4270</v>
      </c>
      <c r="C444" s="284" t="s">
        <v>352</v>
      </c>
      <c r="D444" s="285">
        <v>250000</v>
      </c>
    </row>
    <row r="445" spans="1:4" ht="15" customHeight="1">
      <c r="A445" s="282" t="s">
        <v>145</v>
      </c>
      <c r="B445" s="283">
        <v>4278</v>
      </c>
      <c r="C445" s="284" t="s">
        <v>352</v>
      </c>
      <c r="D445" s="285">
        <v>8500</v>
      </c>
    </row>
    <row r="446" spans="1:4" ht="15" customHeight="1">
      <c r="A446" s="282" t="s">
        <v>145</v>
      </c>
      <c r="B446" s="283">
        <v>4279</v>
      </c>
      <c r="C446" s="284" t="s">
        <v>352</v>
      </c>
      <c r="D446" s="285">
        <v>1500</v>
      </c>
    </row>
    <row r="447" spans="1:4" ht="15" customHeight="1">
      <c r="A447" s="282" t="s">
        <v>145</v>
      </c>
      <c r="B447" s="283">
        <v>4280</v>
      </c>
      <c r="C447" s="284" t="s">
        <v>373</v>
      </c>
      <c r="D447" s="285">
        <v>22000</v>
      </c>
    </row>
    <row r="448" spans="1:4" ht="15" customHeight="1">
      <c r="A448" s="282" t="s">
        <v>145</v>
      </c>
      <c r="B448" s="283">
        <v>4288</v>
      </c>
      <c r="C448" s="284" t="s">
        <v>373</v>
      </c>
      <c r="D448" s="285">
        <v>8500</v>
      </c>
    </row>
    <row r="449" spans="1:4" ht="15" customHeight="1">
      <c r="A449" s="282" t="s">
        <v>145</v>
      </c>
      <c r="B449" s="283">
        <v>4289</v>
      </c>
      <c r="C449" s="284" t="s">
        <v>373</v>
      </c>
      <c r="D449" s="285">
        <v>1500</v>
      </c>
    </row>
    <row r="450" spans="1:4" ht="15" customHeight="1">
      <c r="A450" s="282" t="s">
        <v>145</v>
      </c>
      <c r="B450" s="283">
        <v>4300</v>
      </c>
      <c r="C450" s="284" t="s">
        <v>353</v>
      </c>
      <c r="D450" s="285">
        <v>1940255</v>
      </c>
    </row>
    <row r="451" spans="1:4" ht="15" customHeight="1">
      <c r="A451" s="282" t="s">
        <v>145</v>
      </c>
      <c r="B451" s="283">
        <v>4308</v>
      </c>
      <c r="C451" s="284" t="s">
        <v>353</v>
      </c>
      <c r="D451" s="285">
        <v>2885495</v>
      </c>
    </row>
    <row r="452" spans="1:4" ht="15" customHeight="1">
      <c r="A452" s="282" t="s">
        <v>145</v>
      </c>
      <c r="B452" s="283">
        <v>4309</v>
      </c>
      <c r="C452" s="284" t="s">
        <v>353</v>
      </c>
      <c r="D452" s="285">
        <v>509205</v>
      </c>
    </row>
    <row r="453" spans="1:4" ht="15" customHeight="1">
      <c r="A453" s="282" t="s">
        <v>145</v>
      </c>
      <c r="B453" s="283">
        <v>4360</v>
      </c>
      <c r="C453" s="284" t="s">
        <v>354</v>
      </c>
      <c r="D453" s="285">
        <v>300000</v>
      </c>
    </row>
    <row r="454" spans="1:4" ht="15" customHeight="1">
      <c r="A454" s="282" t="s">
        <v>145</v>
      </c>
      <c r="B454" s="283">
        <v>4368</v>
      </c>
      <c r="C454" s="284" t="s">
        <v>354</v>
      </c>
      <c r="D454" s="285">
        <v>168045</v>
      </c>
    </row>
    <row r="455" spans="1:4" ht="15" customHeight="1">
      <c r="A455" s="282" t="s">
        <v>145</v>
      </c>
      <c r="B455" s="283">
        <v>4369</v>
      </c>
      <c r="C455" s="284" t="s">
        <v>354</v>
      </c>
      <c r="D455" s="285">
        <v>29655</v>
      </c>
    </row>
    <row r="456" spans="1:4" ht="15" customHeight="1">
      <c r="A456" s="282" t="s">
        <v>145</v>
      </c>
      <c r="B456" s="283">
        <v>4380</v>
      </c>
      <c r="C456" s="284" t="s">
        <v>355</v>
      </c>
      <c r="D456" s="285">
        <v>2000</v>
      </c>
    </row>
    <row r="457" spans="1:4" ht="15" customHeight="1">
      <c r="A457" s="282" t="s">
        <v>145</v>
      </c>
      <c r="B457" s="283">
        <v>4388</v>
      </c>
      <c r="C457" s="284" t="s">
        <v>355</v>
      </c>
      <c r="D457" s="285">
        <v>11050</v>
      </c>
    </row>
    <row r="458" spans="1:4" ht="15" customHeight="1">
      <c r="A458" s="282" t="s">
        <v>145</v>
      </c>
      <c r="B458" s="283">
        <v>4389</v>
      </c>
      <c r="C458" s="284" t="s">
        <v>355</v>
      </c>
      <c r="D458" s="285">
        <v>1950</v>
      </c>
    </row>
    <row r="459" spans="1:4" ht="15" customHeight="1">
      <c r="A459" s="282" t="s">
        <v>145</v>
      </c>
      <c r="B459" s="283">
        <v>4390</v>
      </c>
      <c r="C459" s="284" t="s">
        <v>374</v>
      </c>
      <c r="D459" s="285">
        <v>20000</v>
      </c>
    </row>
    <row r="460" spans="1:4" ht="15" customHeight="1">
      <c r="A460" s="282" t="s">
        <v>145</v>
      </c>
      <c r="B460" s="283">
        <v>4398</v>
      </c>
      <c r="C460" s="284" t="s">
        <v>374</v>
      </c>
      <c r="D460" s="285">
        <v>990250</v>
      </c>
    </row>
    <row r="461" spans="1:4" ht="15" customHeight="1">
      <c r="A461" s="282" t="s">
        <v>145</v>
      </c>
      <c r="B461" s="283">
        <v>4399</v>
      </c>
      <c r="C461" s="284" t="s">
        <v>374</v>
      </c>
      <c r="D461" s="285">
        <v>174750</v>
      </c>
    </row>
    <row r="462" spans="1:4" ht="15" customHeight="1">
      <c r="A462" s="282" t="s">
        <v>145</v>
      </c>
      <c r="B462" s="283">
        <v>4400</v>
      </c>
      <c r="C462" s="284" t="s">
        <v>356</v>
      </c>
      <c r="D462" s="285">
        <v>600000</v>
      </c>
    </row>
    <row r="463" spans="1:4" ht="15" customHeight="1">
      <c r="A463" s="282" t="s">
        <v>145</v>
      </c>
      <c r="B463" s="283">
        <v>4408</v>
      </c>
      <c r="C463" s="284" t="s">
        <v>356</v>
      </c>
      <c r="D463" s="285">
        <v>676600</v>
      </c>
    </row>
    <row r="464" spans="1:4" ht="15" customHeight="1">
      <c r="A464" s="282" t="s">
        <v>145</v>
      </c>
      <c r="B464" s="283">
        <v>4409</v>
      </c>
      <c r="C464" s="284" t="s">
        <v>356</v>
      </c>
      <c r="D464" s="285">
        <v>119400</v>
      </c>
    </row>
    <row r="465" spans="1:4" ht="15" customHeight="1">
      <c r="A465" s="282" t="s">
        <v>145</v>
      </c>
      <c r="B465" s="283">
        <v>4410</v>
      </c>
      <c r="C465" s="284" t="s">
        <v>357</v>
      </c>
      <c r="D465" s="285">
        <v>140000</v>
      </c>
    </row>
    <row r="466" spans="1:4" ht="15" customHeight="1">
      <c r="A466" s="282" t="s">
        <v>145</v>
      </c>
      <c r="B466" s="283">
        <v>4418</v>
      </c>
      <c r="C466" s="284" t="s">
        <v>357</v>
      </c>
      <c r="D466" s="285">
        <v>36635</v>
      </c>
    </row>
    <row r="467" spans="1:4" ht="15" customHeight="1">
      <c r="A467" s="282" t="s">
        <v>145</v>
      </c>
      <c r="B467" s="283">
        <v>4419</v>
      </c>
      <c r="C467" s="284" t="s">
        <v>357</v>
      </c>
      <c r="D467" s="285">
        <v>6465</v>
      </c>
    </row>
    <row r="468" spans="1:4" ht="15" customHeight="1">
      <c r="A468" s="282" t="s">
        <v>145</v>
      </c>
      <c r="B468" s="283">
        <v>4420</v>
      </c>
      <c r="C468" s="284" t="s">
        <v>358</v>
      </c>
      <c r="D468" s="285">
        <v>190000</v>
      </c>
    </row>
    <row r="469" spans="1:4" ht="15" customHeight="1">
      <c r="A469" s="282" t="s">
        <v>145</v>
      </c>
      <c r="B469" s="283">
        <v>4428</v>
      </c>
      <c r="C469" s="284" t="s">
        <v>358</v>
      </c>
      <c r="D469" s="285">
        <v>148750</v>
      </c>
    </row>
    <row r="470" spans="1:4" ht="15" customHeight="1">
      <c r="A470" s="282" t="s">
        <v>145</v>
      </c>
      <c r="B470" s="283">
        <v>4429</v>
      </c>
      <c r="C470" s="284" t="s">
        <v>358</v>
      </c>
      <c r="D470" s="285">
        <v>26250</v>
      </c>
    </row>
    <row r="471" spans="1:4" ht="15" customHeight="1">
      <c r="A471" s="282" t="s">
        <v>145</v>
      </c>
      <c r="B471" s="283">
        <v>4430</v>
      </c>
      <c r="C471" s="284" t="s">
        <v>359</v>
      </c>
      <c r="D471" s="285">
        <v>90000</v>
      </c>
    </row>
    <row r="472" spans="1:4" ht="15" customHeight="1">
      <c r="A472" s="282" t="s">
        <v>145</v>
      </c>
      <c r="B472" s="283">
        <v>4438</v>
      </c>
      <c r="C472" s="284" t="s">
        <v>359</v>
      </c>
      <c r="D472" s="285">
        <v>30600</v>
      </c>
    </row>
    <row r="473" spans="1:4" ht="15" customHeight="1">
      <c r="A473" s="282" t="s">
        <v>145</v>
      </c>
      <c r="B473" s="283">
        <v>4439</v>
      </c>
      <c r="C473" s="284" t="s">
        <v>359</v>
      </c>
      <c r="D473" s="285">
        <v>5400</v>
      </c>
    </row>
    <row r="474" spans="1:4" ht="15" customHeight="1">
      <c r="A474" s="282" t="s">
        <v>145</v>
      </c>
      <c r="B474" s="283">
        <v>4440</v>
      </c>
      <c r="C474" s="284" t="s">
        <v>375</v>
      </c>
      <c r="D474" s="285">
        <v>1385962</v>
      </c>
    </row>
    <row r="475" spans="1:4" ht="15" customHeight="1">
      <c r="A475" s="282" t="s">
        <v>145</v>
      </c>
      <c r="B475" s="283">
        <v>4480</v>
      </c>
      <c r="C475" s="284" t="s">
        <v>376</v>
      </c>
      <c r="D475" s="285">
        <v>4000</v>
      </c>
    </row>
    <row r="476" spans="1:4" ht="15" customHeight="1">
      <c r="A476" s="282" t="s">
        <v>145</v>
      </c>
      <c r="B476" s="283">
        <v>4510</v>
      </c>
      <c r="C476" s="284" t="s">
        <v>378</v>
      </c>
      <c r="D476" s="285">
        <v>1000</v>
      </c>
    </row>
    <row r="477" spans="1:4" ht="15" customHeight="1">
      <c r="A477" s="282" t="s">
        <v>145</v>
      </c>
      <c r="B477" s="283">
        <v>4520</v>
      </c>
      <c r="C477" s="284" t="s">
        <v>379</v>
      </c>
      <c r="D477" s="285">
        <v>26000</v>
      </c>
    </row>
    <row r="478" spans="1:4" ht="15" customHeight="1">
      <c r="A478" s="282" t="s">
        <v>145</v>
      </c>
      <c r="B478" s="283">
        <v>4610</v>
      </c>
      <c r="C478" s="284" t="s">
        <v>362</v>
      </c>
      <c r="D478" s="285">
        <v>30000</v>
      </c>
    </row>
    <row r="479" spans="1:4" ht="15" customHeight="1">
      <c r="A479" s="282" t="s">
        <v>145</v>
      </c>
      <c r="B479" s="283">
        <v>4618</v>
      </c>
      <c r="C479" s="284" t="s">
        <v>362</v>
      </c>
      <c r="D479" s="285">
        <v>223550</v>
      </c>
    </row>
    <row r="480" spans="1:4" ht="15" customHeight="1">
      <c r="A480" s="282" t="s">
        <v>145</v>
      </c>
      <c r="B480" s="283">
        <v>4619</v>
      </c>
      <c r="C480" s="284" t="s">
        <v>362</v>
      </c>
      <c r="D480" s="285">
        <v>39450</v>
      </c>
    </row>
    <row r="481" spans="1:4" ht="15" customHeight="1">
      <c r="A481" s="282" t="s">
        <v>145</v>
      </c>
      <c r="B481" s="283">
        <v>4700</v>
      </c>
      <c r="C481" s="284" t="s">
        <v>360</v>
      </c>
      <c r="D481" s="285">
        <v>65000</v>
      </c>
    </row>
    <row r="482" spans="1:4" ht="15" customHeight="1">
      <c r="A482" s="282" t="s">
        <v>145</v>
      </c>
      <c r="B482" s="283">
        <v>4708</v>
      </c>
      <c r="C482" s="284" t="s">
        <v>360</v>
      </c>
      <c r="D482" s="285">
        <v>169422</v>
      </c>
    </row>
    <row r="483" spans="1:4" ht="15" customHeight="1">
      <c r="A483" s="282" t="s">
        <v>145</v>
      </c>
      <c r="B483" s="283">
        <v>4709</v>
      </c>
      <c r="C483" s="284" t="s">
        <v>360</v>
      </c>
      <c r="D483" s="285">
        <v>29898</v>
      </c>
    </row>
    <row r="484" spans="1:4" ht="15" customHeight="1">
      <c r="A484" s="282" t="s">
        <v>145</v>
      </c>
      <c r="B484" s="283">
        <v>6050</v>
      </c>
      <c r="C484" s="284" t="s">
        <v>370</v>
      </c>
      <c r="D484" s="285">
        <v>350000</v>
      </c>
    </row>
    <row r="485" spans="1:4" ht="15" customHeight="1">
      <c r="A485" s="282" t="s">
        <v>145</v>
      </c>
      <c r="B485" s="283">
        <v>6060</v>
      </c>
      <c r="C485" s="284" t="s">
        <v>380</v>
      </c>
      <c r="D485" s="285">
        <v>250000</v>
      </c>
    </row>
    <row r="486" spans="1:4" ht="15" customHeight="1">
      <c r="A486" s="282" t="s">
        <v>145</v>
      </c>
      <c r="B486" s="283">
        <v>6068</v>
      </c>
      <c r="C486" s="284" t="s">
        <v>380</v>
      </c>
      <c r="D486" s="285">
        <v>9350</v>
      </c>
    </row>
    <row r="487" spans="1:4" ht="19.5" customHeight="1">
      <c r="A487" s="282" t="s">
        <v>145</v>
      </c>
      <c r="B487" s="283">
        <v>6069</v>
      </c>
      <c r="C487" s="284" t="s">
        <v>380</v>
      </c>
      <c r="D487" s="285">
        <v>1650</v>
      </c>
    </row>
    <row r="488" spans="1:4" s="277" customFormat="1" ht="15" customHeight="1">
      <c r="A488" s="278">
        <v>75058</v>
      </c>
      <c r="B488" s="279" t="s">
        <v>145</v>
      </c>
      <c r="C488" s="280" t="s">
        <v>275</v>
      </c>
      <c r="D488" s="281">
        <f>SUM(D489:D501)</f>
        <v>450000</v>
      </c>
    </row>
    <row r="489" spans="1:4" ht="15" customHeight="1">
      <c r="A489" s="282" t="s">
        <v>145</v>
      </c>
      <c r="B489" s="283">
        <v>4170</v>
      </c>
      <c r="C489" s="284" t="s">
        <v>347</v>
      </c>
      <c r="D489" s="285">
        <v>3000</v>
      </c>
    </row>
    <row r="490" spans="1:4" ht="15" customHeight="1">
      <c r="A490" s="282" t="s">
        <v>145</v>
      </c>
      <c r="B490" s="283">
        <v>4210</v>
      </c>
      <c r="C490" s="284" t="s">
        <v>349</v>
      </c>
      <c r="D490" s="285">
        <v>8000</v>
      </c>
    </row>
    <row r="491" spans="1:4" ht="15" customHeight="1">
      <c r="A491" s="282" t="s">
        <v>145</v>
      </c>
      <c r="B491" s="283">
        <v>4220</v>
      </c>
      <c r="C491" s="284" t="s">
        <v>350</v>
      </c>
      <c r="D491" s="285">
        <v>3300</v>
      </c>
    </row>
    <row r="492" spans="1:4" ht="15" customHeight="1">
      <c r="A492" s="282" t="s">
        <v>145</v>
      </c>
      <c r="B492" s="283">
        <v>4260</v>
      </c>
      <c r="C492" s="284" t="s">
        <v>351</v>
      </c>
      <c r="D492" s="285">
        <v>14100</v>
      </c>
    </row>
    <row r="493" spans="1:4" ht="15" customHeight="1">
      <c r="A493" s="282" t="s">
        <v>145</v>
      </c>
      <c r="B493" s="283">
        <v>4270</v>
      </c>
      <c r="C493" s="284" t="s">
        <v>352</v>
      </c>
      <c r="D493" s="285">
        <v>20000</v>
      </c>
    </row>
    <row r="494" spans="1:4" ht="15" customHeight="1">
      <c r="A494" s="282" t="s">
        <v>145</v>
      </c>
      <c r="B494" s="283">
        <v>4300</v>
      </c>
      <c r="C494" s="284" t="s">
        <v>353</v>
      </c>
      <c r="D494" s="285">
        <v>29000</v>
      </c>
    </row>
    <row r="495" spans="1:4" ht="15" customHeight="1">
      <c r="A495" s="286" t="s">
        <v>145</v>
      </c>
      <c r="B495" s="287">
        <v>4360</v>
      </c>
      <c r="C495" s="288" t="s">
        <v>354</v>
      </c>
      <c r="D495" s="289">
        <v>17500</v>
      </c>
    </row>
    <row r="496" spans="1:4" ht="15" customHeight="1">
      <c r="A496" s="290" t="s">
        <v>145</v>
      </c>
      <c r="B496" s="291">
        <v>4380</v>
      </c>
      <c r="C496" s="292" t="s">
        <v>355</v>
      </c>
      <c r="D496" s="293">
        <v>800</v>
      </c>
    </row>
    <row r="497" spans="1:4" ht="15" customHeight="1">
      <c r="A497" s="282" t="s">
        <v>145</v>
      </c>
      <c r="B497" s="283">
        <v>4400</v>
      </c>
      <c r="C497" s="284" t="s">
        <v>356</v>
      </c>
      <c r="D497" s="285">
        <v>133300</v>
      </c>
    </row>
    <row r="498" spans="1:4" ht="15" customHeight="1">
      <c r="A498" s="282" t="s">
        <v>145</v>
      </c>
      <c r="B498" s="283">
        <v>4420</v>
      </c>
      <c r="C498" s="284" t="s">
        <v>358</v>
      </c>
      <c r="D498" s="285">
        <v>5000</v>
      </c>
    </row>
    <row r="499" spans="1:4" ht="15" customHeight="1">
      <c r="A499" s="282" t="s">
        <v>145</v>
      </c>
      <c r="B499" s="283">
        <v>4430</v>
      </c>
      <c r="C499" s="284" t="s">
        <v>359</v>
      </c>
      <c r="D499" s="285">
        <v>213000</v>
      </c>
    </row>
    <row r="500" spans="1:4" ht="15" customHeight="1">
      <c r="A500" s="282" t="s">
        <v>145</v>
      </c>
      <c r="B500" s="283">
        <v>4480</v>
      </c>
      <c r="C500" s="284" t="s">
        <v>376</v>
      </c>
      <c r="D500" s="285">
        <v>2500</v>
      </c>
    </row>
    <row r="501" spans="1:4" ht="15" customHeight="1">
      <c r="A501" s="282" t="s">
        <v>145</v>
      </c>
      <c r="B501" s="283">
        <v>4530</v>
      </c>
      <c r="C501" s="284" t="s">
        <v>365</v>
      </c>
      <c r="D501" s="285">
        <v>500</v>
      </c>
    </row>
    <row r="502" spans="1:4" s="277" customFormat="1" ht="15" customHeight="1">
      <c r="A502" s="278">
        <v>75075</v>
      </c>
      <c r="B502" s="279" t="s">
        <v>145</v>
      </c>
      <c r="C502" s="280" t="s">
        <v>168</v>
      </c>
      <c r="D502" s="281">
        <f>SUM(D503:D544)</f>
        <v>26739147</v>
      </c>
    </row>
    <row r="503" spans="1:4" ht="39.75" customHeight="1">
      <c r="A503" s="282" t="s">
        <v>145</v>
      </c>
      <c r="B503" s="283">
        <v>2007</v>
      </c>
      <c r="C503" s="284" t="s">
        <v>341</v>
      </c>
      <c r="D503" s="285">
        <v>3248020</v>
      </c>
    </row>
    <row r="504" spans="1:4" ht="38.25" customHeight="1">
      <c r="A504" s="282" t="s">
        <v>145</v>
      </c>
      <c r="B504" s="283">
        <v>2057</v>
      </c>
      <c r="C504" s="284" t="s">
        <v>176</v>
      </c>
      <c r="D504" s="285">
        <v>84500</v>
      </c>
    </row>
    <row r="505" spans="1:4" ht="15" customHeight="1">
      <c r="A505" s="282" t="s">
        <v>145</v>
      </c>
      <c r="B505" s="283">
        <v>4017</v>
      </c>
      <c r="C505" s="284" t="s">
        <v>343</v>
      </c>
      <c r="D505" s="285">
        <v>747172</v>
      </c>
    </row>
    <row r="506" spans="1:4" ht="15" customHeight="1">
      <c r="A506" s="282" t="s">
        <v>145</v>
      </c>
      <c r="B506" s="283">
        <v>4019</v>
      </c>
      <c r="C506" s="284" t="s">
        <v>343</v>
      </c>
      <c r="D506" s="285">
        <v>131855</v>
      </c>
    </row>
    <row r="507" spans="1:4" ht="15" customHeight="1">
      <c r="A507" s="282" t="s">
        <v>145</v>
      </c>
      <c r="B507" s="283">
        <v>4047</v>
      </c>
      <c r="C507" s="284" t="s">
        <v>344</v>
      </c>
      <c r="D507" s="285">
        <v>23745</v>
      </c>
    </row>
    <row r="508" spans="1:4" ht="15" customHeight="1">
      <c r="A508" s="282" t="s">
        <v>145</v>
      </c>
      <c r="B508" s="283">
        <v>4049</v>
      </c>
      <c r="C508" s="284" t="s">
        <v>344</v>
      </c>
      <c r="D508" s="285">
        <v>4190</v>
      </c>
    </row>
    <row r="509" spans="1:4" ht="15" customHeight="1">
      <c r="A509" s="282" t="s">
        <v>145</v>
      </c>
      <c r="B509" s="283">
        <v>4117</v>
      </c>
      <c r="C509" s="284" t="s">
        <v>345</v>
      </c>
      <c r="D509" s="285">
        <v>132986</v>
      </c>
    </row>
    <row r="510" spans="1:4" ht="15" customHeight="1">
      <c r="A510" s="282" t="s">
        <v>145</v>
      </c>
      <c r="B510" s="283">
        <v>4119</v>
      </c>
      <c r="C510" s="284" t="s">
        <v>345</v>
      </c>
      <c r="D510" s="285">
        <v>23469</v>
      </c>
    </row>
    <row r="511" spans="1:4" ht="15" customHeight="1">
      <c r="A511" s="282" t="s">
        <v>145</v>
      </c>
      <c r="B511" s="283">
        <v>4127</v>
      </c>
      <c r="C511" s="284" t="s">
        <v>346</v>
      </c>
      <c r="D511" s="285">
        <v>18954</v>
      </c>
    </row>
    <row r="512" spans="1:4" ht="15" customHeight="1">
      <c r="A512" s="282" t="s">
        <v>145</v>
      </c>
      <c r="B512" s="283">
        <v>4129</v>
      </c>
      <c r="C512" s="284" t="s">
        <v>346</v>
      </c>
      <c r="D512" s="285">
        <v>3348</v>
      </c>
    </row>
    <row r="513" spans="1:4" ht="15" customHeight="1">
      <c r="A513" s="282" t="s">
        <v>145</v>
      </c>
      <c r="B513" s="283">
        <v>4170</v>
      </c>
      <c r="C513" s="284" t="s">
        <v>347</v>
      </c>
      <c r="D513" s="285">
        <v>125000</v>
      </c>
    </row>
    <row r="514" spans="1:4" ht="15" customHeight="1">
      <c r="A514" s="282" t="s">
        <v>145</v>
      </c>
      <c r="B514" s="283">
        <v>4177</v>
      </c>
      <c r="C514" s="284" t="s">
        <v>347</v>
      </c>
      <c r="D514" s="285">
        <v>3444</v>
      </c>
    </row>
    <row r="515" spans="1:4" ht="15" customHeight="1">
      <c r="A515" s="282" t="s">
        <v>145</v>
      </c>
      <c r="B515" s="283">
        <v>4179</v>
      </c>
      <c r="C515" s="284" t="s">
        <v>347</v>
      </c>
      <c r="D515" s="285">
        <v>608</v>
      </c>
    </row>
    <row r="516" spans="1:4" ht="15" customHeight="1">
      <c r="A516" s="282" t="s">
        <v>145</v>
      </c>
      <c r="B516" s="283">
        <v>4190</v>
      </c>
      <c r="C516" s="284" t="s">
        <v>348</v>
      </c>
      <c r="D516" s="285">
        <v>50000</v>
      </c>
    </row>
    <row r="517" spans="1:4" ht="15" customHeight="1">
      <c r="A517" s="282" t="s">
        <v>145</v>
      </c>
      <c r="B517" s="283">
        <v>4210</v>
      </c>
      <c r="C517" s="284" t="s">
        <v>349</v>
      </c>
      <c r="D517" s="285">
        <v>150000</v>
      </c>
    </row>
    <row r="518" spans="1:4" ht="15" customHeight="1">
      <c r="A518" s="282" t="s">
        <v>145</v>
      </c>
      <c r="B518" s="283">
        <v>4217</v>
      </c>
      <c r="C518" s="284" t="s">
        <v>349</v>
      </c>
      <c r="D518" s="285">
        <v>51365</v>
      </c>
    </row>
    <row r="519" spans="1:4" ht="15" customHeight="1">
      <c r="A519" s="282" t="s">
        <v>145</v>
      </c>
      <c r="B519" s="283">
        <v>4219</v>
      </c>
      <c r="C519" s="284" t="s">
        <v>349</v>
      </c>
      <c r="D519" s="285">
        <v>9065</v>
      </c>
    </row>
    <row r="520" spans="1:4" ht="15" customHeight="1">
      <c r="A520" s="282" t="s">
        <v>145</v>
      </c>
      <c r="B520" s="283">
        <v>4220</v>
      </c>
      <c r="C520" s="284" t="s">
        <v>350</v>
      </c>
      <c r="D520" s="285">
        <v>75000</v>
      </c>
    </row>
    <row r="521" spans="1:4" ht="15" customHeight="1">
      <c r="A521" s="282" t="s">
        <v>145</v>
      </c>
      <c r="B521" s="283">
        <v>4227</v>
      </c>
      <c r="C521" s="284" t="s">
        <v>350</v>
      </c>
      <c r="D521" s="285">
        <v>14450</v>
      </c>
    </row>
    <row r="522" spans="1:4" ht="15" customHeight="1">
      <c r="A522" s="282" t="s">
        <v>145</v>
      </c>
      <c r="B522" s="283">
        <v>4229</v>
      </c>
      <c r="C522" s="284" t="s">
        <v>350</v>
      </c>
      <c r="D522" s="285">
        <v>2447</v>
      </c>
    </row>
    <row r="523" spans="1:4" ht="15" customHeight="1">
      <c r="A523" s="282" t="s">
        <v>145</v>
      </c>
      <c r="B523" s="283">
        <v>4267</v>
      </c>
      <c r="C523" s="284" t="s">
        <v>351</v>
      </c>
      <c r="D523" s="285">
        <v>1921</v>
      </c>
    </row>
    <row r="524" spans="1:4" ht="15" customHeight="1">
      <c r="A524" s="282" t="s">
        <v>145</v>
      </c>
      <c r="B524" s="283">
        <v>4269</v>
      </c>
      <c r="C524" s="284" t="s">
        <v>351</v>
      </c>
      <c r="D524" s="285">
        <v>339</v>
      </c>
    </row>
    <row r="525" spans="1:4" ht="15" customHeight="1">
      <c r="A525" s="282" t="s">
        <v>145</v>
      </c>
      <c r="B525" s="283">
        <v>4300</v>
      </c>
      <c r="C525" s="284" t="s">
        <v>353</v>
      </c>
      <c r="D525" s="285">
        <v>6638000</v>
      </c>
    </row>
    <row r="526" spans="1:4" ht="15" customHeight="1">
      <c r="A526" s="282" t="s">
        <v>145</v>
      </c>
      <c r="B526" s="283">
        <v>4307</v>
      </c>
      <c r="C526" s="284" t="s">
        <v>353</v>
      </c>
      <c r="D526" s="285">
        <v>12137841</v>
      </c>
    </row>
    <row r="527" spans="1:4" ht="15" customHeight="1">
      <c r="A527" s="282" t="s">
        <v>145</v>
      </c>
      <c r="B527" s="283">
        <v>4309</v>
      </c>
      <c r="C527" s="284" t="s">
        <v>353</v>
      </c>
      <c r="D527" s="285">
        <v>2725247</v>
      </c>
    </row>
    <row r="528" spans="1:4" ht="15" customHeight="1">
      <c r="A528" s="282" t="s">
        <v>145</v>
      </c>
      <c r="B528" s="283">
        <v>4367</v>
      </c>
      <c r="C528" s="284" t="s">
        <v>354</v>
      </c>
      <c r="D528" s="285">
        <v>1921</v>
      </c>
    </row>
    <row r="529" spans="1:4" ht="15" customHeight="1">
      <c r="A529" s="282" t="s">
        <v>145</v>
      </c>
      <c r="B529" s="283">
        <v>4369</v>
      </c>
      <c r="C529" s="284" t="s">
        <v>354</v>
      </c>
      <c r="D529" s="285">
        <v>339</v>
      </c>
    </row>
    <row r="530" spans="1:4" ht="15" customHeight="1">
      <c r="A530" s="282" t="s">
        <v>145</v>
      </c>
      <c r="B530" s="283">
        <v>4380</v>
      </c>
      <c r="C530" s="284" t="s">
        <v>355</v>
      </c>
      <c r="D530" s="285">
        <v>2000</v>
      </c>
    </row>
    <row r="531" spans="1:4" ht="15" customHeight="1">
      <c r="A531" s="282" t="s">
        <v>145</v>
      </c>
      <c r="B531" s="283">
        <v>4387</v>
      </c>
      <c r="C531" s="284" t="s">
        <v>355</v>
      </c>
      <c r="D531" s="285">
        <v>19380</v>
      </c>
    </row>
    <row r="532" spans="1:4" ht="15" customHeight="1">
      <c r="A532" s="282" t="s">
        <v>145</v>
      </c>
      <c r="B532" s="283">
        <v>4389</v>
      </c>
      <c r="C532" s="284" t="s">
        <v>355</v>
      </c>
      <c r="D532" s="285">
        <v>3420</v>
      </c>
    </row>
    <row r="533" spans="1:4" ht="15" customHeight="1">
      <c r="A533" s="282" t="s">
        <v>145</v>
      </c>
      <c r="B533" s="283">
        <v>4417</v>
      </c>
      <c r="C533" s="284" t="s">
        <v>357</v>
      </c>
      <c r="D533" s="285">
        <v>5100</v>
      </c>
    </row>
    <row r="534" spans="1:4" ht="15" customHeight="1">
      <c r="A534" s="282" t="s">
        <v>145</v>
      </c>
      <c r="B534" s="283">
        <v>4419</v>
      </c>
      <c r="C534" s="284" t="s">
        <v>357</v>
      </c>
      <c r="D534" s="285">
        <v>900</v>
      </c>
    </row>
    <row r="535" spans="1:4" ht="15" customHeight="1">
      <c r="A535" s="282" t="s">
        <v>145</v>
      </c>
      <c r="B535" s="283">
        <v>4427</v>
      </c>
      <c r="C535" s="284" t="s">
        <v>358</v>
      </c>
      <c r="D535" s="285">
        <v>121350</v>
      </c>
    </row>
    <row r="536" spans="1:4" ht="15" customHeight="1">
      <c r="A536" s="282" t="s">
        <v>145</v>
      </c>
      <c r="B536" s="283">
        <v>4429</v>
      </c>
      <c r="C536" s="284" t="s">
        <v>358</v>
      </c>
      <c r="D536" s="285">
        <v>33650</v>
      </c>
    </row>
    <row r="537" spans="1:4" ht="15" customHeight="1">
      <c r="A537" s="282" t="s">
        <v>145</v>
      </c>
      <c r="B537" s="283">
        <v>4437</v>
      </c>
      <c r="C537" s="284" t="s">
        <v>359</v>
      </c>
      <c r="D537" s="285">
        <v>850</v>
      </c>
    </row>
    <row r="538" spans="1:4" ht="15" customHeight="1">
      <c r="A538" s="282" t="s">
        <v>145</v>
      </c>
      <c r="B538" s="283">
        <v>4439</v>
      </c>
      <c r="C538" s="284" t="s">
        <v>359</v>
      </c>
      <c r="D538" s="285">
        <v>150</v>
      </c>
    </row>
    <row r="539" spans="1:4" ht="15" customHeight="1">
      <c r="A539" s="282" t="s">
        <v>145</v>
      </c>
      <c r="B539" s="283">
        <v>4530</v>
      </c>
      <c r="C539" s="284" t="s">
        <v>365</v>
      </c>
      <c r="D539" s="285">
        <v>20000</v>
      </c>
    </row>
    <row r="540" spans="1:4" ht="15" customHeight="1">
      <c r="A540" s="282" t="s">
        <v>145</v>
      </c>
      <c r="B540" s="283">
        <v>4537</v>
      </c>
      <c r="C540" s="284" t="s">
        <v>365</v>
      </c>
      <c r="D540" s="285">
        <v>67678</v>
      </c>
    </row>
    <row r="541" spans="1:4" ht="15" customHeight="1">
      <c r="A541" s="282" t="s">
        <v>145</v>
      </c>
      <c r="B541" s="283">
        <v>4539</v>
      </c>
      <c r="C541" s="284" t="s">
        <v>365</v>
      </c>
      <c r="D541" s="285">
        <v>11943</v>
      </c>
    </row>
    <row r="542" spans="1:4" ht="15" customHeight="1">
      <c r="A542" s="282" t="s">
        <v>145</v>
      </c>
      <c r="B542" s="283">
        <v>4700</v>
      </c>
      <c r="C542" s="284" t="s">
        <v>360</v>
      </c>
      <c r="D542" s="285">
        <v>40000</v>
      </c>
    </row>
    <row r="543" spans="1:4" ht="15" customHeight="1">
      <c r="A543" s="282" t="s">
        <v>145</v>
      </c>
      <c r="B543" s="283">
        <v>4707</v>
      </c>
      <c r="C543" s="284" t="s">
        <v>360</v>
      </c>
      <c r="D543" s="285">
        <v>6375</v>
      </c>
    </row>
    <row r="544" spans="1:4" ht="15" customHeight="1">
      <c r="A544" s="282" t="s">
        <v>145</v>
      </c>
      <c r="B544" s="283">
        <v>4709</v>
      </c>
      <c r="C544" s="284" t="s">
        <v>360</v>
      </c>
      <c r="D544" s="285">
        <v>1125</v>
      </c>
    </row>
    <row r="545" spans="1:4" s="277" customFormat="1" ht="13.5" customHeight="1">
      <c r="A545" s="278">
        <v>75084</v>
      </c>
      <c r="B545" s="279" t="s">
        <v>145</v>
      </c>
      <c r="C545" s="280" t="s">
        <v>169</v>
      </c>
      <c r="D545" s="281">
        <f>SUM(D546:D554)</f>
        <v>201000</v>
      </c>
    </row>
    <row r="546" spans="1:4" ht="15" customHeight="1">
      <c r="A546" s="282" t="s">
        <v>145</v>
      </c>
      <c r="B546" s="283">
        <v>3030</v>
      </c>
      <c r="C546" s="284" t="s">
        <v>386</v>
      </c>
      <c r="D546" s="285">
        <v>50000</v>
      </c>
    </row>
    <row r="547" spans="1:4" ht="15" customHeight="1">
      <c r="A547" s="282" t="s">
        <v>145</v>
      </c>
      <c r="B547" s="283">
        <v>4010</v>
      </c>
      <c r="C547" s="284" t="s">
        <v>343</v>
      </c>
      <c r="D547" s="285">
        <v>58509</v>
      </c>
    </row>
    <row r="548" spans="1:4" ht="15" customHeight="1">
      <c r="A548" s="282" t="s">
        <v>145</v>
      </c>
      <c r="B548" s="283">
        <v>4110</v>
      </c>
      <c r="C548" s="284" t="s">
        <v>345</v>
      </c>
      <c r="D548" s="285">
        <v>10058</v>
      </c>
    </row>
    <row r="549" spans="1:4" ht="15" customHeight="1">
      <c r="A549" s="282" t="s">
        <v>145</v>
      </c>
      <c r="B549" s="283">
        <v>4120</v>
      </c>
      <c r="C549" s="284" t="s">
        <v>346</v>
      </c>
      <c r="D549" s="285">
        <v>1433</v>
      </c>
    </row>
    <row r="550" spans="1:4" ht="15" customHeight="1">
      <c r="A550" s="286" t="s">
        <v>145</v>
      </c>
      <c r="B550" s="287">
        <v>4210</v>
      </c>
      <c r="C550" s="288" t="s">
        <v>349</v>
      </c>
      <c r="D550" s="289">
        <v>5000</v>
      </c>
    </row>
    <row r="551" spans="1:4" ht="15" customHeight="1">
      <c r="A551" s="290" t="s">
        <v>145</v>
      </c>
      <c r="B551" s="291">
        <v>4220</v>
      </c>
      <c r="C551" s="292" t="s">
        <v>350</v>
      </c>
      <c r="D551" s="293">
        <v>5000</v>
      </c>
    </row>
    <row r="552" spans="1:4" ht="15" customHeight="1">
      <c r="A552" s="282" t="s">
        <v>145</v>
      </c>
      <c r="B552" s="283">
        <v>4300</v>
      </c>
      <c r="C552" s="284" t="s">
        <v>353</v>
      </c>
      <c r="D552" s="285">
        <v>50500</v>
      </c>
    </row>
    <row r="553" spans="1:4" ht="15" customHeight="1">
      <c r="A553" s="282" t="s">
        <v>145</v>
      </c>
      <c r="B553" s="283">
        <v>4390</v>
      </c>
      <c r="C553" s="284" t="s">
        <v>374</v>
      </c>
      <c r="D553" s="285">
        <v>20000</v>
      </c>
    </row>
    <row r="554" spans="1:4" ht="15" customHeight="1">
      <c r="A554" s="282" t="s">
        <v>145</v>
      </c>
      <c r="B554" s="283">
        <v>4410</v>
      </c>
      <c r="C554" s="284" t="s">
        <v>357</v>
      </c>
      <c r="D554" s="285">
        <v>500</v>
      </c>
    </row>
    <row r="555" spans="1:4" s="277" customFormat="1" ht="15" customHeight="1">
      <c r="A555" s="278">
        <v>75095</v>
      </c>
      <c r="B555" s="279" t="s">
        <v>145</v>
      </c>
      <c r="C555" s="280" t="s">
        <v>130</v>
      </c>
      <c r="D555" s="281">
        <f>SUM(D556:D596)</f>
        <v>2930850</v>
      </c>
    </row>
    <row r="556" spans="1:4" ht="39.75" customHeight="1">
      <c r="A556" s="282" t="s">
        <v>145</v>
      </c>
      <c r="B556" s="283">
        <v>2360</v>
      </c>
      <c r="C556" s="284" t="s">
        <v>383</v>
      </c>
      <c r="D556" s="285">
        <v>135000</v>
      </c>
    </row>
    <row r="557" spans="1:4" ht="14.25" customHeight="1">
      <c r="A557" s="282" t="s">
        <v>145</v>
      </c>
      <c r="B557" s="283">
        <v>3028</v>
      </c>
      <c r="C557" s="284" t="s">
        <v>371</v>
      </c>
      <c r="D557" s="285">
        <v>425</v>
      </c>
    </row>
    <row r="558" spans="1:4" ht="14.25" customHeight="1">
      <c r="A558" s="282" t="s">
        <v>145</v>
      </c>
      <c r="B558" s="283">
        <v>3029</v>
      </c>
      <c r="C558" s="284" t="s">
        <v>371</v>
      </c>
      <c r="D558" s="285">
        <v>75</v>
      </c>
    </row>
    <row r="559" spans="1:4" ht="14.25" customHeight="1">
      <c r="A559" s="282" t="s">
        <v>145</v>
      </c>
      <c r="B559" s="283">
        <v>3030</v>
      </c>
      <c r="C559" s="284" t="s">
        <v>386</v>
      </c>
      <c r="D559" s="285">
        <v>2000</v>
      </c>
    </row>
    <row r="560" spans="1:4" ht="14.25" customHeight="1">
      <c r="A560" s="282" t="s">
        <v>145</v>
      </c>
      <c r="B560" s="283">
        <v>3040</v>
      </c>
      <c r="C560" s="284" t="s">
        <v>387</v>
      </c>
      <c r="D560" s="285">
        <v>150000</v>
      </c>
    </row>
    <row r="561" spans="1:4" ht="14.25" customHeight="1">
      <c r="A561" s="282" t="s">
        <v>145</v>
      </c>
      <c r="B561" s="283">
        <v>4018</v>
      </c>
      <c r="C561" s="284" t="s">
        <v>343</v>
      </c>
      <c r="D561" s="285">
        <v>875075</v>
      </c>
    </row>
    <row r="562" spans="1:4" ht="14.25" customHeight="1">
      <c r="A562" s="282" t="s">
        <v>145</v>
      </c>
      <c r="B562" s="283">
        <v>4019</v>
      </c>
      <c r="C562" s="284" t="s">
        <v>343</v>
      </c>
      <c r="D562" s="285">
        <v>154425</v>
      </c>
    </row>
    <row r="563" spans="1:4" ht="14.25" customHeight="1">
      <c r="A563" s="282" t="s">
        <v>145</v>
      </c>
      <c r="B563" s="283">
        <v>4048</v>
      </c>
      <c r="C563" s="284" t="s">
        <v>344</v>
      </c>
      <c r="D563" s="285">
        <v>85000</v>
      </c>
    </row>
    <row r="564" spans="1:4" ht="14.25" customHeight="1">
      <c r="A564" s="282" t="s">
        <v>145</v>
      </c>
      <c r="B564" s="283">
        <v>4049</v>
      </c>
      <c r="C564" s="284" t="s">
        <v>344</v>
      </c>
      <c r="D564" s="285">
        <v>15000</v>
      </c>
    </row>
    <row r="565" spans="1:4" ht="14.25" customHeight="1">
      <c r="A565" s="282" t="s">
        <v>145</v>
      </c>
      <c r="B565" s="283">
        <v>4118</v>
      </c>
      <c r="C565" s="284" t="s">
        <v>345</v>
      </c>
      <c r="D565" s="285">
        <v>160225</v>
      </c>
    </row>
    <row r="566" spans="1:4" ht="14.25" customHeight="1">
      <c r="A566" s="282" t="s">
        <v>145</v>
      </c>
      <c r="B566" s="283">
        <v>4119</v>
      </c>
      <c r="C566" s="284" t="s">
        <v>345</v>
      </c>
      <c r="D566" s="285">
        <v>28275</v>
      </c>
    </row>
    <row r="567" spans="1:4" ht="14.25" customHeight="1">
      <c r="A567" s="282" t="s">
        <v>145</v>
      </c>
      <c r="B567" s="283">
        <v>4128</v>
      </c>
      <c r="C567" s="284" t="s">
        <v>346</v>
      </c>
      <c r="D567" s="285">
        <v>16150</v>
      </c>
    </row>
    <row r="568" spans="1:4" ht="14.25" customHeight="1">
      <c r="A568" s="282" t="s">
        <v>145</v>
      </c>
      <c r="B568" s="283">
        <v>4129</v>
      </c>
      <c r="C568" s="284" t="s">
        <v>346</v>
      </c>
      <c r="D568" s="285">
        <v>2850</v>
      </c>
    </row>
    <row r="569" spans="1:4" ht="14.25" customHeight="1">
      <c r="A569" s="282" t="s">
        <v>145</v>
      </c>
      <c r="B569" s="283">
        <v>4170</v>
      </c>
      <c r="C569" s="284" t="s">
        <v>347</v>
      </c>
      <c r="D569" s="285">
        <v>15000</v>
      </c>
    </row>
    <row r="570" spans="1:4" ht="14.25" customHeight="1">
      <c r="A570" s="282" t="s">
        <v>145</v>
      </c>
      <c r="B570" s="283">
        <v>4190</v>
      </c>
      <c r="C570" s="284" t="s">
        <v>348</v>
      </c>
      <c r="D570" s="285">
        <v>59000</v>
      </c>
    </row>
    <row r="571" spans="1:4" ht="14.25" customHeight="1">
      <c r="A571" s="282" t="s">
        <v>145</v>
      </c>
      <c r="B571" s="283">
        <v>4210</v>
      </c>
      <c r="C571" s="284" t="s">
        <v>349</v>
      </c>
      <c r="D571" s="285">
        <v>79500</v>
      </c>
    </row>
    <row r="572" spans="1:4" ht="14.25" customHeight="1">
      <c r="A572" s="282" t="s">
        <v>145</v>
      </c>
      <c r="B572" s="283">
        <v>4218</v>
      </c>
      <c r="C572" s="284" t="s">
        <v>349</v>
      </c>
      <c r="D572" s="285">
        <v>8500</v>
      </c>
    </row>
    <row r="573" spans="1:4" ht="14.25" customHeight="1">
      <c r="A573" s="282" t="s">
        <v>145</v>
      </c>
      <c r="B573" s="283">
        <v>4219</v>
      </c>
      <c r="C573" s="284" t="s">
        <v>349</v>
      </c>
      <c r="D573" s="285">
        <v>1500</v>
      </c>
    </row>
    <row r="574" spans="1:4" ht="14.25" customHeight="1">
      <c r="A574" s="282" t="s">
        <v>145</v>
      </c>
      <c r="B574" s="283">
        <v>4220</v>
      </c>
      <c r="C574" s="284" t="s">
        <v>350</v>
      </c>
      <c r="D574" s="285">
        <v>39500</v>
      </c>
    </row>
    <row r="575" spans="1:4" ht="14.25" customHeight="1">
      <c r="A575" s="282" t="s">
        <v>145</v>
      </c>
      <c r="B575" s="283">
        <v>4228</v>
      </c>
      <c r="C575" s="284" t="s">
        <v>350</v>
      </c>
      <c r="D575" s="285">
        <v>3400</v>
      </c>
    </row>
    <row r="576" spans="1:4" ht="14.25" customHeight="1">
      <c r="A576" s="282" t="s">
        <v>145</v>
      </c>
      <c r="B576" s="283">
        <v>4229</v>
      </c>
      <c r="C576" s="284" t="s">
        <v>350</v>
      </c>
      <c r="D576" s="285">
        <v>600</v>
      </c>
    </row>
    <row r="577" spans="1:4" ht="14.25" customHeight="1">
      <c r="A577" s="282" t="s">
        <v>145</v>
      </c>
      <c r="B577" s="283">
        <v>4268</v>
      </c>
      <c r="C577" s="284" t="s">
        <v>351</v>
      </c>
      <c r="D577" s="285">
        <v>23800</v>
      </c>
    </row>
    <row r="578" spans="1:4" ht="14.25" customHeight="1">
      <c r="A578" s="282" t="s">
        <v>145</v>
      </c>
      <c r="B578" s="283">
        <v>4269</v>
      </c>
      <c r="C578" s="284" t="s">
        <v>351</v>
      </c>
      <c r="D578" s="285">
        <v>4200</v>
      </c>
    </row>
    <row r="579" spans="1:4" ht="14.25" customHeight="1">
      <c r="A579" s="282" t="s">
        <v>145</v>
      </c>
      <c r="B579" s="283">
        <v>4288</v>
      </c>
      <c r="C579" s="284" t="s">
        <v>373</v>
      </c>
      <c r="D579" s="285">
        <v>425</v>
      </c>
    </row>
    <row r="580" spans="1:4" ht="14.25" customHeight="1">
      <c r="A580" s="282" t="s">
        <v>145</v>
      </c>
      <c r="B580" s="283">
        <v>4289</v>
      </c>
      <c r="C580" s="284" t="s">
        <v>373</v>
      </c>
      <c r="D580" s="285">
        <v>75</v>
      </c>
    </row>
    <row r="581" spans="1:4" ht="14.25" customHeight="1">
      <c r="A581" s="282" t="s">
        <v>145</v>
      </c>
      <c r="B581" s="283">
        <v>4300</v>
      </c>
      <c r="C581" s="284" t="s">
        <v>353</v>
      </c>
      <c r="D581" s="285">
        <v>836850</v>
      </c>
    </row>
    <row r="582" spans="1:4" ht="14.25" customHeight="1">
      <c r="A582" s="282" t="s">
        <v>145</v>
      </c>
      <c r="B582" s="283">
        <v>4308</v>
      </c>
      <c r="C582" s="284" t="s">
        <v>353</v>
      </c>
      <c r="D582" s="285">
        <v>38250</v>
      </c>
    </row>
    <row r="583" spans="1:4" ht="14.25" customHeight="1">
      <c r="A583" s="282" t="s">
        <v>145</v>
      </c>
      <c r="B583" s="283">
        <v>4309</v>
      </c>
      <c r="C583" s="284" t="s">
        <v>353</v>
      </c>
      <c r="D583" s="285">
        <v>6750</v>
      </c>
    </row>
    <row r="584" spans="1:4" ht="14.25" customHeight="1">
      <c r="A584" s="282" t="s">
        <v>145</v>
      </c>
      <c r="B584" s="283">
        <v>4368</v>
      </c>
      <c r="C584" s="284" t="s">
        <v>354</v>
      </c>
      <c r="D584" s="285">
        <v>7650</v>
      </c>
    </row>
    <row r="585" spans="1:4" ht="14.25" customHeight="1">
      <c r="A585" s="282" t="s">
        <v>145</v>
      </c>
      <c r="B585" s="283">
        <v>4369</v>
      </c>
      <c r="C585" s="284" t="s">
        <v>354</v>
      </c>
      <c r="D585" s="285">
        <v>1350</v>
      </c>
    </row>
    <row r="586" spans="1:4" ht="14.25" customHeight="1">
      <c r="A586" s="282" t="s">
        <v>145</v>
      </c>
      <c r="B586" s="283">
        <v>4380</v>
      </c>
      <c r="C586" s="284" t="s">
        <v>355</v>
      </c>
      <c r="D586" s="285">
        <v>19000</v>
      </c>
    </row>
    <row r="587" spans="1:4" ht="14.25" customHeight="1">
      <c r="A587" s="282" t="s">
        <v>145</v>
      </c>
      <c r="B587" s="283">
        <v>4388</v>
      </c>
      <c r="C587" s="284" t="s">
        <v>355</v>
      </c>
      <c r="D587" s="285">
        <v>850</v>
      </c>
    </row>
    <row r="588" spans="1:4" ht="14.25" customHeight="1">
      <c r="A588" s="282" t="s">
        <v>145</v>
      </c>
      <c r="B588" s="283">
        <v>4389</v>
      </c>
      <c r="C588" s="284" t="s">
        <v>355</v>
      </c>
      <c r="D588" s="285">
        <v>150</v>
      </c>
    </row>
    <row r="589" spans="1:4" ht="14.25" customHeight="1">
      <c r="A589" s="282" t="s">
        <v>145</v>
      </c>
      <c r="B589" s="283">
        <v>4408</v>
      </c>
      <c r="C589" s="284" t="s">
        <v>356</v>
      </c>
      <c r="D589" s="285">
        <v>42500</v>
      </c>
    </row>
    <row r="590" spans="1:4" ht="14.25" customHeight="1">
      <c r="A590" s="282" t="s">
        <v>145</v>
      </c>
      <c r="B590" s="283">
        <v>4409</v>
      </c>
      <c r="C590" s="284" t="s">
        <v>356</v>
      </c>
      <c r="D590" s="285">
        <v>7500</v>
      </c>
    </row>
    <row r="591" spans="1:4" ht="14.25" customHeight="1">
      <c r="A591" s="282" t="s">
        <v>145</v>
      </c>
      <c r="B591" s="283">
        <v>4418</v>
      </c>
      <c r="C591" s="284" t="s">
        <v>357</v>
      </c>
      <c r="D591" s="285">
        <v>6800</v>
      </c>
    </row>
    <row r="592" spans="1:4" ht="14.25" customHeight="1">
      <c r="A592" s="282" t="s">
        <v>145</v>
      </c>
      <c r="B592" s="283">
        <v>4419</v>
      </c>
      <c r="C592" s="284" t="s">
        <v>357</v>
      </c>
      <c r="D592" s="285">
        <v>1200</v>
      </c>
    </row>
    <row r="593" spans="1:4" ht="14.25" customHeight="1">
      <c r="A593" s="282" t="s">
        <v>145</v>
      </c>
      <c r="B593" s="283">
        <v>4430</v>
      </c>
      <c r="C593" s="284" t="s">
        <v>359</v>
      </c>
      <c r="D593" s="285">
        <v>73000</v>
      </c>
    </row>
    <row r="594" spans="1:4" ht="14.25" customHeight="1">
      <c r="A594" s="282" t="s">
        <v>145</v>
      </c>
      <c r="B594" s="283">
        <v>4540</v>
      </c>
      <c r="C594" s="284" t="s">
        <v>366</v>
      </c>
      <c r="D594" s="285">
        <v>22000</v>
      </c>
    </row>
    <row r="595" spans="1:4" ht="14.25" customHeight="1">
      <c r="A595" s="282" t="s">
        <v>145</v>
      </c>
      <c r="B595" s="283">
        <v>4708</v>
      </c>
      <c r="C595" s="284" t="s">
        <v>360</v>
      </c>
      <c r="D595" s="285">
        <v>5950</v>
      </c>
    </row>
    <row r="596" spans="1:4" ht="14.25" customHeight="1">
      <c r="A596" s="282" t="s">
        <v>145</v>
      </c>
      <c r="B596" s="283">
        <v>4709</v>
      </c>
      <c r="C596" s="284" t="s">
        <v>360</v>
      </c>
      <c r="D596" s="285">
        <v>1050</v>
      </c>
    </row>
    <row r="597" spans="1:4" s="277" customFormat="1" ht="15" customHeight="1">
      <c r="A597" s="273" t="s">
        <v>90</v>
      </c>
      <c r="B597" s="274" t="s">
        <v>145</v>
      </c>
      <c r="C597" s="275" t="s">
        <v>91</v>
      </c>
      <c r="D597" s="276">
        <f>D598</f>
        <v>5000</v>
      </c>
    </row>
    <row r="598" spans="1:4" s="277" customFormat="1" ht="15" customHeight="1">
      <c r="A598" s="278">
        <v>75212</v>
      </c>
      <c r="B598" s="279" t="s">
        <v>145</v>
      </c>
      <c r="C598" s="280" t="s">
        <v>146</v>
      </c>
      <c r="D598" s="281">
        <f>SUM(D599:D600)</f>
        <v>5000</v>
      </c>
    </row>
    <row r="599" spans="1:4" ht="15" customHeight="1">
      <c r="A599" s="282" t="s">
        <v>145</v>
      </c>
      <c r="B599" s="283">
        <v>4210</v>
      </c>
      <c r="C599" s="284" t="s">
        <v>349</v>
      </c>
      <c r="D599" s="285">
        <v>1000</v>
      </c>
    </row>
    <row r="600" spans="1:4" ht="15" customHeight="1">
      <c r="A600" s="282" t="s">
        <v>145</v>
      </c>
      <c r="B600" s="283">
        <v>4300</v>
      </c>
      <c r="C600" s="284" t="s">
        <v>353</v>
      </c>
      <c r="D600" s="285">
        <v>4000</v>
      </c>
    </row>
    <row r="601" spans="1:4" s="277" customFormat="1" ht="15" customHeight="1">
      <c r="A601" s="273" t="s">
        <v>281</v>
      </c>
      <c r="B601" s="274" t="s">
        <v>145</v>
      </c>
      <c r="C601" s="275" t="s">
        <v>282</v>
      </c>
      <c r="D601" s="276">
        <f>D602</f>
        <v>160000</v>
      </c>
    </row>
    <row r="602" spans="1:4" s="277" customFormat="1" ht="15" customHeight="1">
      <c r="A602" s="278">
        <v>75495</v>
      </c>
      <c r="B602" s="279" t="s">
        <v>145</v>
      </c>
      <c r="C602" s="280" t="s">
        <v>130</v>
      </c>
      <c r="D602" s="281">
        <f>SUM(D603:D606)</f>
        <v>160000</v>
      </c>
    </row>
    <row r="603" spans="1:4" ht="15" customHeight="1">
      <c r="A603" s="282" t="s">
        <v>145</v>
      </c>
      <c r="B603" s="283">
        <v>4190</v>
      </c>
      <c r="C603" s="284" t="s">
        <v>348</v>
      </c>
      <c r="D603" s="285">
        <v>4000</v>
      </c>
    </row>
    <row r="604" spans="1:4" ht="15" customHeight="1">
      <c r="A604" s="282" t="s">
        <v>145</v>
      </c>
      <c r="B604" s="283">
        <v>4210</v>
      </c>
      <c r="C604" s="284" t="s">
        <v>349</v>
      </c>
      <c r="D604" s="285">
        <v>6000</v>
      </c>
    </row>
    <row r="605" spans="1:4" ht="15" customHeight="1">
      <c r="A605" s="282" t="s">
        <v>145</v>
      </c>
      <c r="B605" s="283">
        <v>4300</v>
      </c>
      <c r="C605" s="284" t="s">
        <v>353</v>
      </c>
      <c r="D605" s="285">
        <v>110000</v>
      </c>
    </row>
    <row r="606" spans="1:4" ht="15" customHeight="1">
      <c r="A606" s="286" t="s">
        <v>145</v>
      </c>
      <c r="B606" s="287">
        <v>4430</v>
      </c>
      <c r="C606" s="288" t="s">
        <v>359</v>
      </c>
      <c r="D606" s="289">
        <v>40000</v>
      </c>
    </row>
    <row r="607" spans="1:4" s="277" customFormat="1" ht="15" customHeight="1">
      <c r="A607" s="273" t="s">
        <v>284</v>
      </c>
      <c r="B607" s="274" t="s">
        <v>145</v>
      </c>
      <c r="C607" s="275" t="s">
        <v>285</v>
      </c>
      <c r="D607" s="276">
        <f>D608+D610</f>
        <v>41521051</v>
      </c>
    </row>
    <row r="608" spans="1:4" s="277" customFormat="1" ht="15" customHeight="1">
      <c r="A608" s="278">
        <v>75702</v>
      </c>
      <c r="B608" s="279" t="s">
        <v>145</v>
      </c>
      <c r="C608" s="280" t="s">
        <v>287</v>
      </c>
      <c r="D608" s="281">
        <f>D609</f>
        <v>7438376</v>
      </c>
    </row>
    <row r="609" spans="1:4" ht="27.75" customHeight="1">
      <c r="A609" s="286" t="s">
        <v>145</v>
      </c>
      <c r="B609" s="287">
        <v>8110</v>
      </c>
      <c r="C609" s="288" t="s">
        <v>388</v>
      </c>
      <c r="D609" s="289">
        <v>7438376</v>
      </c>
    </row>
    <row r="610" spans="1:4" s="277" customFormat="1" ht="28.5" customHeight="1">
      <c r="A610" s="294">
        <v>75704</v>
      </c>
      <c r="B610" s="295" t="s">
        <v>145</v>
      </c>
      <c r="C610" s="296" t="s">
        <v>289</v>
      </c>
      <c r="D610" s="297">
        <f>SUM(D611:D612)</f>
        <v>34082675</v>
      </c>
    </row>
    <row r="611" spans="1:4" ht="15" customHeight="1">
      <c r="A611" s="282" t="s">
        <v>145</v>
      </c>
      <c r="B611" s="283">
        <v>8020</v>
      </c>
      <c r="C611" s="284" t="s">
        <v>389</v>
      </c>
      <c r="D611" s="285">
        <v>33762675</v>
      </c>
    </row>
    <row r="612" spans="1:4" ht="15" customHeight="1">
      <c r="A612" s="282" t="s">
        <v>145</v>
      </c>
      <c r="B612" s="283">
        <v>8030</v>
      </c>
      <c r="C612" s="284" t="s">
        <v>390</v>
      </c>
      <c r="D612" s="285">
        <v>320000</v>
      </c>
    </row>
    <row r="613" spans="1:4" s="277" customFormat="1" ht="15" customHeight="1">
      <c r="A613" s="273" t="s">
        <v>92</v>
      </c>
      <c r="B613" s="274" t="s">
        <v>145</v>
      </c>
      <c r="C613" s="275" t="s">
        <v>93</v>
      </c>
      <c r="D613" s="276">
        <f>D614</f>
        <v>14250000</v>
      </c>
    </row>
    <row r="614" spans="1:4" s="277" customFormat="1" ht="15" customHeight="1">
      <c r="A614" s="278">
        <v>75818</v>
      </c>
      <c r="B614" s="279" t="s">
        <v>145</v>
      </c>
      <c r="C614" s="280" t="s">
        <v>291</v>
      </c>
      <c r="D614" s="281">
        <f>SUM(D615:D616)</f>
        <v>14250000</v>
      </c>
    </row>
    <row r="615" spans="1:4" ht="15" customHeight="1">
      <c r="A615" s="282" t="s">
        <v>145</v>
      </c>
      <c r="B615" s="283">
        <v>4810</v>
      </c>
      <c r="C615" s="284" t="s">
        <v>391</v>
      </c>
      <c r="D615" s="285">
        <v>7850000</v>
      </c>
    </row>
    <row r="616" spans="1:4" ht="15" customHeight="1">
      <c r="A616" s="282" t="s">
        <v>145</v>
      </c>
      <c r="B616" s="283">
        <v>6800</v>
      </c>
      <c r="C616" s="284" t="s">
        <v>392</v>
      </c>
      <c r="D616" s="285">
        <v>6400000</v>
      </c>
    </row>
    <row r="617" spans="1:4" s="277" customFormat="1" ht="15" customHeight="1">
      <c r="A617" s="273" t="s">
        <v>94</v>
      </c>
      <c r="B617" s="274" t="s">
        <v>145</v>
      </c>
      <c r="C617" s="275" t="s">
        <v>95</v>
      </c>
      <c r="D617" s="276">
        <f>D618+D636+D666+D683+D685+D722+D739+D756+D789+D809+D827+D840+D846</f>
        <v>78600737</v>
      </c>
    </row>
    <row r="618" spans="1:4" s="277" customFormat="1" ht="15" customHeight="1">
      <c r="A618" s="278">
        <v>80102</v>
      </c>
      <c r="B618" s="279" t="s">
        <v>145</v>
      </c>
      <c r="C618" s="280" t="s">
        <v>110</v>
      </c>
      <c r="D618" s="281">
        <f>SUM(D619:D635)</f>
        <v>16870403</v>
      </c>
    </row>
    <row r="619" spans="1:4" ht="15" customHeight="1">
      <c r="A619" s="282" t="s">
        <v>145</v>
      </c>
      <c r="B619" s="283">
        <v>3020</v>
      </c>
      <c r="C619" s="284" t="s">
        <v>371</v>
      </c>
      <c r="D619" s="285">
        <v>17863</v>
      </c>
    </row>
    <row r="620" spans="1:4" ht="15" customHeight="1">
      <c r="A620" s="282" t="s">
        <v>145</v>
      </c>
      <c r="B620" s="283">
        <v>4010</v>
      </c>
      <c r="C620" s="284" t="s">
        <v>343</v>
      </c>
      <c r="D620" s="285">
        <v>12216472</v>
      </c>
    </row>
    <row r="621" spans="1:4" ht="15" customHeight="1">
      <c r="A621" s="282" t="s">
        <v>145</v>
      </c>
      <c r="B621" s="283">
        <v>4040</v>
      </c>
      <c r="C621" s="284" t="s">
        <v>344</v>
      </c>
      <c r="D621" s="285">
        <v>835480</v>
      </c>
    </row>
    <row r="622" spans="1:4" ht="15" customHeight="1">
      <c r="A622" s="282" t="s">
        <v>145</v>
      </c>
      <c r="B622" s="283">
        <v>4110</v>
      </c>
      <c r="C622" s="284" t="s">
        <v>345</v>
      </c>
      <c r="D622" s="285">
        <v>2215660</v>
      </c>
    </row>
    <row r="623" spans="1:4" ht="15" customHeight="1">
      <c r="A623" s="282" t="s">
        <v>145</v>
      </c>
      <c r="B623" s="283">
        <v>4120</v>
      </c>
      <c r="C623" s="284" t="s">
        <v>346</v>
      </c>
      <c r="D623" s="285">
        <v>290659</v>
      </c>
    </row>
    <row r="624" spans="1:4" ht="15" customHeight="1">
      <c r="A624" s="282" t="s">
        <v>145</v>
      </c>
      <c r="B624" s="283">
        <v>4170</v>
      </c>
      <c r="C624" s="284" t="s">
        <v>347</v>
      </c>
      <c r="D624" s="285">
        <v>17000</v>
      </c>
    </row>
    <row r="625" spans="1:4" ht="15" customHeight="1">
      <c r="A625" s="282" t="s">
        <v>145</v>
      </c>
      <c r="B625" s="283">
        <v>4210</v>
      </c>
      <c r="C625" s="284" t="s">
        <v>349</v>
      </c>
      <c r="D625" s="285">
        <v>85980</v>
      </c>
    </row>
    <row r="626" spans="1:4" ht="15" customHeight="1">
      <c r="A626" s="282" t="s">
        <v>145</v>
      </c>
      <c r="B626" s="283">
        <v>4240</v>
      </c>
      <c r="C626" s="284" t="s">
        <v>393</v>
      </c>
      <c r="D626" s="285">
        <v>29500</v>
      </c>
    </row>
    <row r="627" spans="1:4" ht="15" customHeight="1">
      <c r="A627" s="282" t="s">
        <v>145</v>
      </c>
      <c r="B627" s="283">
        <v>4260</v>
      </c>
      <c r="C627" s="284" t="s">
        <v>351</v>
      </c>
      <c r="D627" s="285">
        <v>429600</v>
      </c>
    </row>
    <row r="628" spans="1:4" ht="15" customHeight="1">
      <c r="A628" s="282" t="s">
        <v>145</v>
      </c>
      <c r="B628" s="283">
        <v>4270</v>
      </c>
      <c r="C628" s="284" t="s">
        <v>352</v>
      </c>
      <c r="D628" s="285">
        <v>19500</v>
      </c>
    </row>
    <row r="629" spans="1:4" ht="15" customHeight="1">
      <c r="A629" s="282" t="s">
        <v>145</v>
      </c>
      <c r="B629" s="283">
        <v>4280</v>
      </c>
      <c r="C629" s="284" t="s">
        <v>373</v>
      </c>
      <c r="D629" s="285">
        <v>11540</v>
      </c>
    </row>
    <row r="630" spans="1:4" ht="15" customHeight="1">
      <c r="A630" s="282" t="s">
        <v>145</v>
      </c>
      <c r="B630" s="283">
        <v>4300</v>
      </c>
      <c r="C630" s="284" t="s">
        <v>353</v>
      </c>
      <c r="D630" s="285">
        <v>139023</v>
      </c>
    </row>
    <row r="631" spans="1:4" ht="15" customHeight="1">
      <c r="A631" s="282" t="s">
        <v>145</v>
      </c>
      <c r="B631" s="283">
        <v>4360</v>
      </c>
      <c r="C631" s="284" t="s">
        <v>354</v>
      </c>
      <c r="D631" s="285">
        <v>22427</v>
      </c>
    </row>
    <row r="632" spans="1:4" ht="15" customHeight="1">
      <c r="A632" s="282" t="s">
        <v>145</v>
      </c>
      <c r="B632" s="283">
        <v>4410</v>
      </c>
      <c r="C632" s="284" t="s">
        <v>357</v>
      </c>
      <c r="D632" s="285">
        <v>17972</v>
      </c>
    </row>
    <row r="633" spans="1:4" ht="15" customHeight="1">
      <c r="A633" s="282" t="s">
        <v>145</v>
      </c>
      <c r="B633" s="283">
        <v>4430</v>
      </c>
      <c r="C633" s="284" t="s">
        <v>359</v>
      </c>
      <c r="D633" s="285">
        <v>9700</v>
      </c>
    </row>
    <row r="634" spans="1:4" ht="15" customHeight="1">
      <c r="A634" s="282" t="s">
        <v>145</v>
      </c>
      <c r="B634" s="283">
        <v>4440</v>
      </c>
      <c r="C634" s="284" t="s">
        <v>375</v>
      </c>
      <c r="D634" s="285">
        <v>503977</v>
      </c>
    </row>
    <row r="635" spans="1:4" ht="15" customHeight="1">
      <c r="A635" s="282" t="s">
        <v>145</v>
      </c>
      <c r="B635" s="283">
        <v>4700</v>
      </c>
      <c r="C635" s="284" t="s">
        <v>360</v>
      </c>
      <c r="D635" s="285">
        <v>8050</v>
      </c>
    </row>
    <row r="636" spans="1:4" s="277" customFormat="1" ht="15" customHeight="1">
      <c r="A636" s="278">
        <v>80105</v>
      </c>
      <c r="B636" s="279" t="s">
        <v>145</v>
      </c>
      <c r="C636" s="280" t="s">
        <v>294</v>
      </c>
      <c r="D636" s="281">
        <f>SUM(D637:D665)</f>
        <v>1071781</v>
      </c>
    </row>
    <row r="637" spans="1:4" ht="15" customHeight="1">
      <c r="A637" s="282" t="s">
        <v>145</v>
      </c>
      <c r="B637" s="283">
        <v>3020</v>
      </c>
      <c r="C637" s="284" t="s">
        <v>371</v>
      </c>
      <c r="D637" s="285">
        <v>1099</v>
      </c>
    </row>
    <row r="638" spans="1:4" ht="15" customHeight="1">
      <c r="A638" s="282" t="s">
        <v>145</v>
      </c>
      <c r="B638" s="283">
        <v>4010</v>
      </c>
      <c r="C638" s="284" t="s">
        <v>343</v>
      </c>
      <c r="D638" s="285">
        <v>210196</v>
      </c>
    </row>
    <row r="639" spans="1:4" ht="15" customHeight="1">
      <c r="A639" s="282" t="s">
        <v>145</v>
      </c>
      <c r="B639" s="283">
        <v>4017</v>
      </c>
      <c r="C639" s="284" t="s">
        <v>343</v>
      </c>
      <c r="D639" s="285">
        <v>477075</v>
      </c>
    </row>
    <row r="640" spans="1:4" ht="15" customHeight="1">
      <c r="A640" s="282" t="s">
        <v>145</v>
      </c>
      <c r="B640" s="283">
        <v>4019</v>
      </c>
      <c r="C640" s="284" t="s">
        <v>343</v>
      </c>
      <c r="D640" s="285">
        <v>84190</v>
      </c>
    </row>
    <row r="641" spans="1:4" ht="15" customHeight="1">
      <c r="A641" s="282" t="s">
        <v>145</v>
      </c>
      <c r="B641" s="283">
        <v>4040</v>
      </c>
      <c r="C641" s="284" t="s">
        <v>344</v>
      </c>
      <c r="D641" s="285">
        <v>16633</v>
      </c>
    </row>
    <row r="642" spans="1:4" ht="15" customHeight="1">
      <c r="A642" s="282" t="s">
        <v>145</v>
      </c>
      <c r="B642" s="283">
        <v>4110</v>
      </c>
      <c r="C642" s="284" t="s">
        <v>345</v>
      </c>
      <c r="D642" s="285">
        <v>38788</v>
      </c>
    </row>
    <row r="643" spans="1:4" ht="15" customHeight="1">
      <c r="A643" s="282" t="s">
        <v>145</v>
      </c>
      <c r="B643" s="283">
        <v>4117</v>
      </c>
      <c r="C643" s="284" t="s">
        <v>345</v>
      </c>
      <c r="D643" s="285">
        <v>78547</v>
      </c>
    </row>
    <row r="644" spans="1:4" ht="15" customHeight="1">
      <c r="A644" s="282" t="s">
        <v>145</v>
      </c>
      <c r="B644" s="283">
        <v>4119</v>
      </c>
      <c r="C644" s="284" t="s">
        <v>345</v>
      </c>
      <c r="D644" s="285">
        <v>13861</v>
      </c>
    </row>
    <row r="645" spans="1:4" ht="15" customHeight="1">
      <c r="A645" s="282" t="s">
        <v>145</v>
      </c>
      <c r="B645" s="283">
        <v>4120</v>
      </c>
      <c r="C645" s="284" t="s">
        <v>346</v>
      </c>
      <c r="D645" s="285">
        <v>4012</v>
      </c>
    </row>
    <row r="646" spans="1:4" ht="15" customHeight="1">
      <c r="A646" s="282" t="s">
        <v>145</v>
      </c>
      <c r="B646" s="283">
        <v>4127</v>
      </c>
      <c r="C646" s="284" t="s">
        <v>346</v>
      </c>
      <c r="D646" s="285">
        <v>11182</v>
      </c>
    </row>
    <row r="647" spans="1:4" ht="15" customHeight="1">
      <c r="A647" s="282" t="s">
        <v>145</v>
      </c>
      <c r="B647" s="283">
        <v>4129</v>
      </c>
      <c r="C647" s="284" t="s">
        <v>346</v>
      </c>
      <c r="D647" s="285">
        <v>1973</v>
      </c>
    </row>
    <row r="648" spans="1:4" ht="15" customHeight="1">
      <c r="A648" s="282" t="s">
        <v>145</v>
      </c>
      <c r="B648" s="283">
        <v>4210</v>
      </c>
      <c r="C648" s="284" t="s">
        <v>349</v>
      </c>
      <c r="D648" s="285">
        <v>2046</v>
      </c>
    </row>
    <row r="649" spans="1:4" ht="15" customHeight="1">
      <c r="A649" s="282" t="s">
        <v>145</v>
      </c>
      <c r="B649" s="283">
        <v>4217</v>
      </c>
      <c r="C649" s="284" t="s">
        <v>349</v>
      </c>
      <c r="D649" s="285">
        <v>31372</v>
      </c>
    </row>
    <row r="650" spans="1:4" ht="15" customHeight="1">
      <c r="A650" s="282" t="s">
        <v>145</v>
      </c>
      <c r="B650" s="283">
        <v>4219</v>
      </c>
      <c r="C650" s="284" t="s">
        <v>349</v>
      </c>
      <c r="D650" s="285">
        <v>5536</v>
      </c>
    </row>
    <row r="651" spans="1:4" ht="15" customHeight="1">
      <c r="A651" s="282" t="s">
        <v>145</v>
      </c>
      <c r="B651" s="283">
        <v>4240</v>
      </c>
      <c r="C651" s="284" t="s">
        <v>393</v>
      </c>
      <c r="D651" s="285">
        <v>700</v>
      </c>
    </row>
    <row r="652" spans="1:4" ht="15" customHeight="1">
      <c r="A652" s="282" t="s">
        <v>145</v>
      </c>
      <c r="B652" s="283">
        <v>4247</v>
      </c>
      <c r="C652" s="284" t="s">
        <v>393</v>
      </c>
      <c r="D652" s="285">
        <v>4080</v>
      </c>
    </row>
    <row r="653" spans="1:4" ht="15" customHeight="1">
      <c r="A653" s="282" t="s">
        <v>145</v>
      </c>
      <c r="B653" s="283">
        <v>4249</v>
      </c>
      <c r="C653" s="284" t="s">
        <v>393</v>
      </c>
      <c r="D653" s="285">
        <v>720</v>
      </c>
    </row>
    <row r="654" spans="1:4" ht="15" customHeight="1">
      <c r="A654" s="282" t="s">
        <v>145</v>
      </c>
      <c r="B654" s="283">
        <v>4267</v>
      </c>
      <c r="C654" s="284" t="s">
        <v>351</v>
      </c>
      <c r="D654" s="285">
        <v>3400</v>
      </c>
    </row>
    <row r="655" spans="1:4" ht="15" customHeight="1">
      <c r="A655" s="282" t="s">
        <v>145</v>
      </c>
      <c r="B655" s="283">
        <v>4269</v>
      </c>
      <c r="C655" s="284" t="s">
        <v>351</v>
      </c>
      <c r="D655" s="285">
        <v>600</v>
      </c>
    </row>
    <row r="656" spans="1:4" ht="15" customHeight="1">
      <c r="A656" s="282" t="s">
        <v>145</v>
      </c>
      <c r="B656" s="283">
        <v>4270</v>
      </c>
      <c r="C656" s="284" t="s">
        <v>352</v>
      </c>
      <c r="D656" s="285">
        <v>738</v>
      </c>
    </row>
    <row r="657" spans="1:4" ht="15" customHeight="1">
      <c r="A657" s="282" t="s">
        <v>145</v>
      </c>
      <c r="B657" s="283">
        <v>4280</v>
      </c>
      <c r="C657" s="284" t="s">
        <v>373</v>
      </c>
      <c r="D657" s="285">
        <v>214</v>
      </c>
    </row>
    <row r="658" spans="1:4" ht="15" customHeight="1">
      <c r="A658" s="282" t="s">
        <v>145</v>
      </c>
      <c r="B658" s="283">
        <v>4300</v>
      </c>
      <c r="C658" s="284" t="s">
        <v>353</v>
      </c>
      <c r="D658" s="285">
        <v>449</v>
      </c>
    </row>
    <row r="659" spans="1:4" ht="15" customHeight="1">
      <c r="A659" s="282" t="s">
        <v>145</v>
      </c>
      <c r="B659" s="283">
        <v>4307</v>
      </c>
      <c r="C659" s="284" t="s">
        <v>353</v>
      </c>
      <c r="D659" s="285">
        <v>55202</v>
      </c>
    </row>
    <row r="660" spans="1:4" ht="15" customHeight="1">
      <c r="A660" s="282" t="s">
        <v>145</v>
      </c>
      <c r="B660" s="283">
        <v>4309</v>
      </c>
      <c r="C660" s="284" t="s">
        <v>353</v>
      </c>
      <c r="D660" s="285">
        <v>9742</v>
      </c>
    </row>
    <row r="661" spans="1:4" ht="15" customHeight="1">
      <c r="A661" s="282" t="s">
        <v>145</v>
      </c>
      <c r="B661" s="283">
        <v>4360</v>
      </c>
      <c r="C661" s="284" t="s">
        <v>354</v>
      </c>
      <c r="D661" s="285">
        <v>352</v>
      </c>
    </row>
    <row r="662" spans="1:4" ht="15" customHeight="1">
      <c r="A662" s="282" t="s">
        <v>145</v>
      </c>
      <c r="B662" s="283">
        <v>4407</v>
      </c>
      <c r="C662" s="284" t="s">
        <v>356</v>
      </c>
      <c r="D662" s="285">
        <v>8500</v>
      </c>
    </row>
    <row r="663" spans="1:4" ht="15" customHeight="1">
      <c r="A663" s="282" t="s">
        <v>145</v>
      </c>
      <c r="B663" s="283">
        <v>4409</v>
      </c>
      <c r="C663" s="284" t="s">
        <v>356</v>
      </c>
      <c r="D663" s="285">
        <v>1500</v>
      </c>
    </row>
    <row r="664" spans="1:4" ht="15" customHeight="1">
      <c r="A664" s="282" t="s">
        <v>145</v>
      </c>
      <c r="B664" s="283">
        <v>4410</v>
      </c>
      <c r="C664" s="284" t="s">
        <v>357</v>
      </c>
      <c r="D664" s="285">
        <v>105</v>
      </c>
    </row>
    <row r="665" spans="1:4" ht="15" customHeight="1">
      <c r="A665" s="282" t="s">
        <v>145</v>
      </c>
      <c r="B665" s="283">
        <v>4440</v>
      </c>
      <c r="C665" s="284" t="s">
        <v>375</v>
      </c>
      <c r="D665" s="285">
        <v>8969</v>
      </c>
    </row>
    <row r="666" spans="1:4" s="277" customFormat="1" ht="15" customHeight="1">
      <c r="A666" s="278">
        <v>80111</v>
      </c>
      <c r="B666" s="279" t="s">
        <v>145</v>
      </c>
      <c r="C666" s="280" t="s">
        <v>111</v>
      </c>
      <c r="D666" s="281">
        <f>SUM(D667:D682)</f>
        <v>2059189</v>
      </c>
    </row>
    <row r="667" spans="1:4" ht="15" customHeight="1">
      <c r="A667" s="286" t="s">
        <v>145</v>
      </c>
      <c r="B667" s="287">
        <v>3020</v>
      </c>
      <c r="C667" s="288" t="s">
        <v>371</v>
      </c>
      <c r="D667" s="289">
        <v>5547</v>
      </c>
    </row>
    <row r="668" spans="1:4" ht="15" customHeight="1">
      <c r="A668" s="290" t="s">
        <v>145</v>
      </c>
      <c r="B668" s="291">
        <v>4010</v>
      </c>
      <c r="C668" s="292" t="s">
        <v>343</v>
      </c>
      <c r="D668" s="293">
        <v>1378919</v>
      </c>
    </row>
    <row r="669" spans="1:4" ht="15" customHeight="1">
      <c r="A669" s="282" t="s">
        <v>145</v>
      </c>
      <c r="B669" s="283">
        <v>4040</v>
      </c>
      <c r="C669" s="284" t="s">
        <v>344</v>
      </c>
      <c r="D669" s="285">
        <v>228169</v>
      </c>
    </row>
    <row r="670" spans="1:4" ht="15" customHeight="1">
      <c r="A670" s="282" t="s">
        <v>145</v>
      </c>
      <c r="B670" s="283">
        <v>4110</v>
      </c>
      <c r="C670" s="284" t="s">
        <v>345</v>
      </c>
      <c r="D670" s="285">
        <v>275349</v>
      </c>
    </row>
    <row r="671" spans="1:4" ht="15" customHeight="1">
      <c r="A671" s="282" t="s">
        <v>145</v>
      </c>
      <c r="B671" s="283">
        <v>4120</v>
      </c>
      <c r="C671" s="284" t="s">
        <v>346</v>
      </c>
      <c r="D671" s="285">
        <v>38859</v>
      </c>
    </row>
    <row r="672" spans="1:4" ht="15" customHeight="1">
      <c r="A672" s="282" t="s">
        <v>145</v>
      </c>
      <c r="B672" s="283">
        <v>4210</v>
      </c>
      <c r="C672" s="284" t="s">
        <v>349</v>
      </c>
      <c r="D672" s="285">
        <v>9558</v>
      </c>
    </row>
    <row r="673" spans="1:4" ht="15" customHeight="1">
      <c r="A673" s="282" t="s">
        <v>145</v>
      </c>
      <c r="B673" s="283">
        <v>4240</v>
      </c>
      <c r="C673" s="284" t="s">
        <v>393</v>
      </c>
      <c r="D673" s="285">
        <v>5472</v>
      </c>
    </row>
    <row r="674" spans="1:4" ht="15" customHeight="1">
      <c r="A674" s="282" t="s">
        <v>145</v>
      </c>
      <c r="B674" s="283">
        <v>4260</v>
      </c>
      <c r="C674" s="284" t="s">
        <v>351</v>
      </c>
      <c r="D674" s="285">
        <v>42800</v>
      </c>
    </row>
    <row r="675" spans="1:4" ht="15" customHeight="1">
      <c r="A675" s="282" t="s">
        <v>145</v>
      </c>
      <c r="B675" s="283">
        <v>4270</v>
      </c>
      <c r="C675" s="284" t="s">
        <v>352</v>
      </c>
      <c r="D675" s="285">
        <v>2238</v>
      </c>
    </row>
    <row r="676" spans="1:4" ht="15" customHeight="1">
      <c r="A676" s="282" t="s">
        <v>145</v>
      </c>
      <c r="B676" s="283">
        <v>4280</v>
      </c>
      <c r="C676" s="284" t="s">
        <v>373</v>
      </c>
      <c r="D676" s="285">
        <v>1168</v>
      </c>
    </row>
    <row r="677" spans="1:4" ht="15" customHeight="1">
      <c r="A677" s="282" t="s">
        <v>145</v>
      </c>
      <c r="B677" s="283">
        <v>4300</v>
      </c>
      <c r="C677" s="284" t="s">
        <v>353</v>
      </c>
      <c r="D677" s="285">
        <v>9728</v>
      </c>
    </row>
    <row r="678" spans="1:4" ht="15" customHeight="1">
      <c r="A678" s="282" t="s">
        <v>145</v>
      </c>
      <c r="B678" s="283">
        <v>4360</v>
      </c>
      <c r="C678" s="284" t="s">
        <v>354</v>
      </c>
      <c r="D678" s="285">
        <v>4070</v>
      </c>
    </row>
    <row r="679" spans="1:4" ht="15" customHeight="1">
      <c r="A679" s="282" t="s">
        <v>145</v>
      </c>
      <c r="B679" s="283">
        <v>4410</v>
      </c>
      <c r="C679" s="284" t="s">
        <v>357</v>
      </c>
      <c r="D679" s="285">
        <v>1922</v>
      </c>
    </row>
    <row r="680" spans="1:4" ht="15" customHeight="1">
      <c r="A680" s="282" t="s">
        <v>145</v>
      </c>
      <c r="B680" s="283">
        <v>4430</v>
      </c>
      <c r="C680" s="284" t="s">
        <v>359</v>
      </c>
      <c r="D680" s="285">
        <v>950</v>
      </c>
    </row>
    <row r="681" spans="1:4" ht="15" customHeight="1">
      <c r="A681" s="282" t="s">
        <v>145</v>
      </c>
      <c r="B681" s="283">
        <v>4440</v>
      </c>
      <c r="C681" s="284" t="s">
        <v>375</v>
      </c>
      <c r="D681" s="285">
        <v>53690</v>
      </c>
    </row>
    <row r="682" spans="1:4" ht="15" customHeight="1">
      <c r="A682" s="282" t="s">
        <v>145</v>
      </c>
      <c r="B682" s="283">
        <v>4700</v>
      </c>
      <c r="C682" s="284" t="s">
        <v>360</v>
      </c>
      <c r="D682" s="285">
        <v>750</v>
      </c>
    </row>
    <row r="683" spans="1:4" s="277" customFormat="1" ht="15" customHeight="1">
      <c r="A683" s="278">
        <v>80113</v>
      </c>
      <c r="B683" s="279" t="s">
        <v>145</v>
      </c>
      <c r="C683" s="280" t="s">
        <v>297</v>
      </c>
      <c r="D683" s="281">
        <f>D684</f>
        <v>16500</v>
      </c>
    </row>
    <row r="684" spans="1:4" ht="15" customHeight="1">
      <c r="A684" s="282" t="s">
        <v>145</v>
      </c>
      <c r="B684" s="283">
        <v>4210</v>
      </c>
      <c r="C684" s="284" t="s">
        <v>349</v>
      </c>
      <c r="D684" s="285">
        <v>16500</v>
      </c>
    </row>
    <row r="685" spans="1:4" s="277" customFormat="1" ht="15" customHeight="1">
      <c r="A685" s="278">
        <v>80116</v>
      </c>
      <c r="B685" s="279" t="s">
        <v>145</v>
      </c>
      <c r="C685" s="280" t="s">
        <v>186</v>
      </c>
      <c r="D685" s="281">
        <f>SUM(D686:D721)</f>
        <v>10638878</v>
      </c>
    </row>
    <row r="686" spans="1:4" ht="15" customHeight="1">
      <c r="A686" s="282" t="s">
        <v>145</v>
      </c>
      <c r="B686" s="283">
        <v>3020</v>
      </c>
      <c r="C686" s="284" t="s">
        <v>371</v>
      </c>
      <c r="D686" s="285">
        <v>10200</v>
      </c>
    </row>
    <row r="687" spans="1:4" ht="15" customHeight="1">
      <c r="A687" s="282" t="s">
        <v>145</v>
      </c>
      <c r="B687" s="283">
        <v>4010</v>
      </c>
      <c r="C687" s="284" t="s">
        <v>343</v>
      </c>
      <c r="D687" s="285">
        <v>3490996</v>
      </c>
    </row>
    <row r="688" spans="1:4" ht="15" customHeight="1">
      <c r="A688" s="282" t="s">
        <v>145</v>
      </c>
      <c r="B688" s="283">
        <v>4017</v>
      </c>
      <c r="C688" s="284" t="s">
        <v>343</v>
      </c>
      <c r="D688" s="285">
        <v>111687</v>
      </c>
    </row>
    <row r="689" spans="1:4" ht="15" customHeight="1">
      <c r="A689" s="282" t="s">
        <v>145</v>
      </c>
      <c r="B689" s="283">
        <v>4019</v>
      </c>
      <c r="C689" s="284" t="s">
        <v>343</v>
      </c>
      <c r="D689" s="285">
        <v>19709</v>
      </c>
    </row>
    <row r="690" spans="1:4" ht="15" customHeight="1">
      <c r="A690" s="282" t="s">
        <v>145</v>
      </c>
      <c r="B690" s="283">
        <v>4040</v>
      </c>
      <c r="C690" s="284" t="s">
        <v>344</v>
      </c>
      <c r="D690" s="285">
        <v>290472</v>
      </c>
    </row>
    <row r="691" spans="1:4" ht="15" customHeight="1">
      <c r="A691" s="282" t="s">
        <v>145</v>
      </c>
      <c r="B691" s="283">
        <v>4047</v>
      </c>
      <c r="C691" s="284" t="s">
        <v>344</v>
      </c>
      <c r="D691" s="285">
        <v>11133</v>
      </c>
    </row>
    <row r="692" spans="1:4" ht="15" customHeight="1">
      <c r="A692" s="282" t="s">
        <v>145</v>
      </c>
      <c r="B692" s="283">
        <v>4049</v>
      </c>
      <c r="C692" s="284" t="s">
        <v>344</v>
      </c>
      <c r="D692" s="285">
        <v>1964</v>
      </c>
    </row>
    <row r="693" spans="1:4" ht="15" customHeight="1">
      <c r="A693" s="282" t="s">
        <v>145</v>
      </c>
      <c r="B693" s="283">
        <v>4110</v>
      </c>
      <c r="C693" s="284" t="s">
        <v>345</v>
      </c>
      <c r="D693" s="285">
        <v>639711</v>
      </c>
    </row>
    <row r="694" spans="1:4" ht="15" customHeight="1">
      <c r="A694" s="282" t="s">
        <v>145</v>
      </c>
      <c r="B694" s="283">
        <v>4117</v>
      </c>
      <c r="C694" s="284" t="s">
        <v>345</v>
      </c>
      <c r="D694" s="285">
        <v>19199</v>
      </c>
    </row>
    <row r="695" spans="1:4" ht="15" customHeight="1">
      <c r="A695" s="282" t="s">
        <v>145</v>
      </c>
      <c r="B695" s="283">
        <v>4119</v>
      </c>
      <c r="C695" s="284" t="s">
        <v>345</v>
      </c>
      <c r="D695" s="285">
        <v>3388</v>
      </c>
    </row>
    <row r="696" spans="1:4" ht="15" customHeight="1">
      <c r="A696" s="282" t="s">
        <v>145</v>
      </c>
      <c r="B696" s="283">
        <v>4120</v>
      </c>
      <c r="C696" s="284" t="s">
        <v>346</v>
      </c>
      <c r="D696" s="285">
        <v>73624</v>
      </c>
    </row>
    <row r="697" spans="1:4" ht="15" customHeight="1">
      <c r="A697" s="282" t="s">
        <v>145</v>
      </c>
      <c r="B697" s="283">
        <v>4127</v>
      </c>
      <c r="C697" s="284" t="s">
        <v>346</v>
      </c>
      <c r="D697" s="285">
        <v>2737</v>
      </c>
    </row>
    <row r="698" spans="1:4" ht="15" customHeight="1">
      <c r="A698" s="282" t="s">
        <v>145</v>
      </c>
      <c r="B698" s="283">
        <v>4129</v>
      </c>
      <c r="C698" s="284" t="s">
        <v>346</v>
      </c>
      <c r="D698" s="285">
        <v>483</v>
      </c>
    </row>
    <row r="699" spans="1:4" ht="15" customHeight="1">
      <c r="A699" s="282" t="s">
        <v>145</v>
      </c>
      <c r="B699" s="283">
        <v>4140</v>
      </c>
      <c r="C699" s="284" t="s">
        <v>372</v>
      </c>
      <c r="D699" s="285">
        <v>8000</v>
      </c>
    </row>
    <row r="700" spans="1:4" ht="15" customHeight="1">
      <c r="A700" s="282" t="s">
        <v>145</v>
      </c>
      <c r="B700" s="283">
        <v>4170</v>
      </c>
      <c r="C700" s="284" t="s">
        <v>347</v>
      </c>
      <c r="D700" s="285">
        <v>4000</v>
      </c>
    </row>
    <row r="701" spans="1:4" ht="15" customHeight="1">
      <c r="A701" s="282" t="s">
        <v>145</v>
      </c>
      <c r="B701" s="283">
        <v>4210</v>
      </c>
      <c r="C701" s="284" t="s">
        <v>349</v>
      </c>
      <c r="D701" s="285">
        <v>119000</v>
      </c>
    </row>
    <row r="702" spans="1:4" ht="15" customHeight="1">
      <c r="A702" s="282" t="s">
        <v>145</v>
      </c>
      <c r="B702" s="283">
        <v>4217</v>
      </c>
      <c r="C702" s="284" t="s">
        <v>349</v>
      </c>
      <c r="D702" s="285">
        <v>14308</v>
      </c>
    </row>
    <row r="703" spans="1:4" ht="15" customHeight="1">
      <c r="A703" s="282" t="s">
        <v>145</v>
      </c>
      <c r="B703" s="283">
        <v>4219</v>
      </c>
      <c r="C703" s="284" t="s">
        <v>349</v>
      </c>
      <c r="D703" s="285">
        <v>2525</v>
      </c>
    </row>
    <row r="704" spans="1:4" ht="15" customHeight="1">
      <c r="A704" s="282" t="s">
        <v>145</v>
      </c>
      <c r="B704" s="283">
        <v>4240</v>
      </c>
      <c r="C704" s="284" t="s">
        <v>393</v>
      </c>
      <c r="D704" s="285">
        <v>76000</v>
      </c>
    </row>
    <row r="705" spans="1:4" ht="15" customHeight="1">
      <c r="A705" s="282" t="s">
        <v>145</v>
      </c>
      <c r="B705" s="283">
        <v>4260</v>
      </c>
      <c r="C705" s="284" t="s">
        <v>351</v>
      </c>
      <c r="D705" s="285">
        <v>185000</v>
      </c>
    </row>
    <row r="706" spans="1:4" ht="15" customHeight="1">
      <c r="A706" s="282" t="s">
        <v>145</v>
      </c>
      <c r="B706" s="283">
        <v>4267</v>
      </c>
      <c r="C706" s="284" t="s">
        <v>351</v>
      </c>
      <c r="D706" s="285">
        <v>9323</v>
      </c>
    </row>
    <row r="707" spans="1:4" ht="15" customHeight="1">
      <c r="A707" s="282" t="s">
        <v>145</v>
      </c>
      <c r="B707" s="283">
        <v>4269</v>
      </c>
      <c r="C707" s="284" t="s">
        <v>351</v>
      </c>
      <c r="D707" s="285">
        <v>1646</v>
      </c>
    </row>
    <row r="708" spans="1:4" ht="15" customHeight="1">
      <c r="A708" s="282" t="s">
        <v>145</v>
      </c>
      <c r="B708" s="283">
        <v>4270</v>
      </c>
      <c r="C708" s="284" t="s">
        <v>352</v>
      </c>
      <c r="D708" s="285">
        <v>47500</v>
      </c>
    </row>
    <row r="709" spans="1:4" ht="15" customHeight="1">
      <c r="A709" s="282" t="s">
        <v>145</v>
      </c>
      <c r="B709" s="283">
        <v>4280</v>
      </c>
      <c r="C709" s="284" t="s">
        <v>373</v>
      </c>
      <c r="D709" s="285">
        <v>3400</v>
      </c>
    </row>
    <row r="710" spans="1:4" ht="15" customHeight="1">
      <c r="A710" s="282" t="s">
        <v>145</v>
      </c>
      <c r="B710" s="283">
        <v>4300</v>
      </c>
      <c r="C710" s="284" t="s">
        <v>353</v>
      </c>
      <c r="D710" s="285">
        <v>148630</v>
      </c>
    </row>
    <row r="711" spans="1:4" ht="15" customHeight="1">
      <c r="A711" s="282" t="s">
        <v>145</v>
      </c>
      <c r="B711" s="283">
        <v>4307</v>
      </c>
      <c r="C711" s="284" t="s">
        <v>353</v>
      </c>
      <c r="D711" s="285">
        <v>31478</v>
      </c>
    </row>
    <row r="712" spans="1:4" ht="15" customHeight="1">
      <c r="A712" s="282" t="s">
        <v>145</v>
      </c>
      <c r="B712" s="283">
        <v>4309</v>
      </c>
      <c r="C712" s="284" t="s">
        <v>353</v>
      </c>
      <c r="D712" s="285">
        <v>5555</v>
      </c>
    </row>
    <row r="713" spans="1:4" ht="15" customHeight="1">
      <c r="A713" s="282" t="s">
        <v>145</v>
      </c>
      <c r="B713" s="283">
        <v>4360</v>
      </c>
      <c r="C713" s="284" t="s">
        <v>354</v>
      </c>
      <c r="D713" s="285">
        <v>11560</v>
      </c>
    </row>
    <row r="714" spans="1:4" ht="15" customHeight="1">
      <c r="A714" s="282" t="s">
        <v>145</v>
      </c>
      <c r="B714" s="283">
        <v>4390</v>
      </c>
      <c r="C714" s="284" t="s">
        <v>374</v>
      </c>
      <c r="D714" s="285">
        <v>540</v>
      </c>
    </row>
    <row r="715" spans="1:4" ht="15" customHeight="1">
      <c r="A715" s="282" t="s">
        <v>145</v>
      </c>
      <c r="B715" s="283">
        <v>4410</v>
      </c>
      <c r="C715" s="284" t="s">
        <v>357</v>
      </c>
      <c r="D715" s="285">
        <v>5000</v>
      </c>
    </row>
    <row r="716" spans="1:4" ht="15" customHeight="1">
      <c r="A716" s="282" t="s">
        <v>145</v>
      </c>
      <c r="B716" s="283">
        <v>4430</v>
      </c>
      <c r="C716" s="284" t="s">
        <v>359</v>
      </c>
      <c r="D716" s="285">
        <v>5500</v>
      </c>
    </row>
    <row r="717" spans="1:4" ht="15" customHeight="1">
      <c r="A717" s="282" t="s">
        <v>145</v>
      </c>
      <c r="B717" s="283">
        <v>4440</v>
      </c>
      <c r="C717" s="284" t="s">
        <v>375</v>
      </c>
      <c r="D717" s="285">
        <v>196110</v>
      </c>
    </row>
    <row r="718" spans="1:4" ht="15" customHeight="1">
      <c r="A718" s="282" t="s">
        <v>145</v>
      </c>
      <c r="B718" s="283">
        <v>4700</v>
      </c>
      <c r="C718" s="284" t="s">
        <v>360</v>
      </c>
      <c r="D718" s="285">
        <v>4500</v>
      </c>
    </row>
    <row r="719" spans="1:4" ht="15" customHeight="1">
      <c r="A719" s="282" t="s">
        <v>145</v>
      </c>
      <c r="B719" s="283">
        <v>6057</v>
      </c>
      <c r="C719" s="284" t="s">
        <v>370</v>
      </c>
      <c r="D719" s="285">
        <v>4307800</v>
      </c>
    </row>
    <row r="720" spans="1:4" ht="15" customHeight="1">
      <c r="A720" s="282" t="s">
        <v>145</v>
      </c>
      <c r="B720" s="283">
        <v>6059</v>
      </c>
      <c r="C720" s="284" t="s">
        <v>370</v>
      </c>
      <c r="D720" s="285">
        <v>760200</v>
      </c>
    </row>
    <row r="721" spans="1:4" ht="15" customHeight="1">
      <c r="A721" s="282" t="s">
        <v>145</v>
      </c>
      <c r="B721" s="283">
        <v>6060</v>
      </c>
      <c r="C721" s="284" t="s">
        <v>380</v>
      </c>
      <c r="D721" s="285">
        <v>16000</v>
      </c>
    </row>
    <row r="722" spans="1:4" s="277" customFormat="1" ht="15" customHeight="1">
      <c r="A722" s="278">
        <v>80121</v>
      </c>
      <c r="B722" s="279" t="s">
        <v>145</v>
      </c>
      <c r="C722" s="280" t="s">
        <v>112</v>
      </c>
      <c r="D722" s="281">
        <f>SUM(D723:D738)</f>
        <v>2418611</v>
      </c>
    </row>
    <row r="723" spans="1:4" ht="15" customHeight="1">
      <c r="A723" s="282" t="s">
        <v>145</v>
      </c>
      <c r="B723" s="283">
        <v>3020</v>
      </c>
      <c r="C723" s="284" t="s">
        <v>371</v>
      </c>
      <c r="D723" s="285">
        <v>5175</v>
      </c>
    </row>
    <row r="724" spans="1:4" ht="15" customHeight="1">
      <c r="A724" s="282" t="s">
        <v>145</v>
      </c>
      <c r="B724" s="283">
        <v>4010</v>
      </c>
      <c r="C724" s="284" t="s">
        <v>343</v>
      </c>
      <c r="D724" s="285">
        <v>1728227</v>
      </c>
    </row>
    <row r="725" spans="1:4" ht="15" customHeight="1">
      <c r="A725" s="286" t="s">
        <v>145</v>
      </c>
      <c r="B725" s="287">
        <v>4040</v>
      </c>
      <c r="C725" s="288" t="s">
        <v>344</v>
      </c>
      <c r="D725" s="289">
        <v>145231</v>
      </c>
    </row>
    <row r="726" spans="1:4" ht="15" customHeight="1">
      <c r="A726" s="290" t="s">
        <v>145</v>
      </c>
      <c r="B726" s="291">
        <v>4110</v>
      </c>
      <c r="C726" s="292" t="s">
        <v>345</v>
      </c>
      <c r="D726" s="293">
        <v>319067</v>
      </c>
    </row>
    <row r="727" spans="1:4" ht="15" customHeight="1">
      <c r="A727" s="282" t="s">
        <v>145</v>
      </c>
      <c r="B727" s="283">
        <v>4120</v>
      </c>
      <c r="C727" s="284" t="s">
        <v>346</v>
      </c>
      <c r="D727" s="285">
        <v>44758</v>
      </c>
    </row>
    <row r="728" spans="1:4" ht="15" customHeight="1">
      <c r="A728" s="282" t="s">
        <v>145</v>
      </c>
      <c r="B728" s="283">
        <v>4210</v>
      </c>
      <c r="C728" s="284" t="s">
        <v>349</v>
      </c>
      <c r="D728" s="285">
        <v>14274</v>
      </c>
    </row>
    <row r="729" spans="1:4" ht="15" customHeight="1">
      <c r="A729" s="282" t="s">
        <v>145</v>
      </c>
      <c r="B729" s="283">
        <v>4240</v>
      </c>
      <c r="C729" s="284" t="s">
        <v>393</v>
      </c>
      <c r="D729" s="285">
        <v>8500</v>
      </c>
    </row>
    <row r="730" spans="1:4" ht="15" customHeight="1">
      <c r="A730" s="282" t="s">
        <v>145</v>
      </c>
      <c r="B730" s="283">
        <v>4260</v>
      </c>
      <c r="C730" s="284" t="s">
        <v>351</v>
      </c>
      <c r="D730" s="285">
        <v>49600</v>
      </c>
    </row>
    <row r="731" spans="1:4" ht="15" customHeight="1">
      <c r="A731" s="282" t="s">
        <v>145</v>
      </c>
      <c r="B731" s="283">
        <v>4270</v>
      </c>
      <c r="C731" s="284" t="s">
        <v>352</v>
      </c>
      <c r="D731" s="285">
        <v>4386</v>
      </c>
    </row>
    <row r="732" spans="1:4" ht="15" customHeight="1">
      <c r="A732" s="282" t="s">
        <v>145</v>
      </c>
      <c r="B732" s="283">
        <v>4280</v>
      </c>
      <c r="C732" s="284" t="s">
        <v>373</v>
      </c>
      <c r="D732" s="285">
        <v>3070</v>
      </c>
    </row>
    <row r="733" spans="1:4" ht="15" customHeight="1">
      <c r="A733" s="282" t="s">
        <v>145</v>
      </c>
      <c r="B733" s="283">
        <v>4300</v>
      </c>
      <c r="C733" s="284" t="s">
        <v>353</v>
      </c>
      <c r="D733" s="285">
        <v>21410</v>
      </c>
    </row>
    <row r="734" spans="1:4" ht="15" customHeight="1">
      <c r="A734" s="282" t="s">
        <v>145</v>
      </c>
      <c r="B734" s="283">
        <v>4360</v>
      </c>
      <c r="C734" s="284" t="s">
        <v>354</v>
      </c>
      <c r="D734" s="285">
        <v>8236</v>
      </c>
    </row>
    <row r="735" spans="1:4" ht="15" customHeight="1">
      <c r="A735" s="282" t="s">
        <v>145</v>
      </c>
      <c r="B735" s="283">
        <v>4410</v>
      </c>
      <c r="C735" s="284" t="s">
        <v>357</v>
      </c>
      <c r="D735" s="285">
        <v>2305</v>
      </c>
    </row>
    <row r="736" spans="1:4" ht="15" customHeight="1">
      <c r="A736" s="282" t="s">
        <v>145</v>
      </c>
      <c r="B736" s="283">
        <v>4430</v>
      </c>
      <c r="C736" s="284" t="s">
        <v>359</v>
      </c>
      <c r="D736" s="285">
        <v>1600</v>
      </c>
    </row>
    <row r="737" spans="1:4" ht="15" customHeight="1">
      <c r="A737" s="282" t="s">
        <v>145</v>
      </c>
      <c r="B737" s="283">
        <v>4440</v>
      </c>
      <c r="C737" s="284" t="s">
        <v>375</v>
      </c>
      <c r="D737" s="285">
        <v>61672</v>
      </c>
    </row>
    <row r="738" spans="1:4" ht="15" customHeight="1">
      <c r="A738" s="282" t="s">
        <v>145</v>
      </c>
      <c r="B738" s="283">
        <v>4700</v>
      </c>
      <c r="C738" s="284" t="s">
        <v>360</v>
      </c>
      <c r="D738" s="285">
        <v>1100</v>
      </c>
    </row>
    <row r="739" spans="1:4" s="277" customFormat="1" ht="15" customHeight="1">
      <c r="A739" s="278">
        <v>80134</v>
      </c>
      <c r="B739" s="279" t="s">
        <v>145</v>
      </c>
      <c r="C739" s="280" t="s">
        <v>113</v>
      </c>
      <c r="D739" s="281">
        <f>SUM(D740:D755)</f>
        <v>12599044</v>
      </c>
    </row>
    <row r="740" spans="1:4" ht="15" customHeight="1">
      <c r="A740" s="282" t="s">
        <v>145</v>
      </c>
      <c r="B740" s="283">
        <v>3020</v>
      </c>
      <c r="C740" s="284" t="s">
        <v>371</v>
      </c>
      <c r="D740" s="285">
        <v>8100</v>
      </c>
    </row>
    <row r="741" spans="1:4" ht="15" customHeight="1">
      <c r="A741" s="282" t="s">
        <v>145</v>
      </c>
      <c r="B741" s="283">
        <v>4010</v>
      </c>
      <c r="C741" s="284" t="s">
        <v>343</v>
      </c>
      <c r="D741" s="285">
        <v>8982492</v>
      </c>
    </row>
    <row r="742" spans="1:4" ht="15" customHeight="1">
      <c r="A742" s="282" t="s">
        <v>145</v>
      </c>
      <c r="B742" s="283">
        <v>4040</v>
      </c>
      <c r="C742" s="284" t="s">
        <v>344</v>
      </c>
      <c r="D742" s="285">
        <v>631229</v>
      </c>
    </row>
    <row r="743" spans="1:4" ht="15" customHeight="1">
      <c r="A743" s="282" t="s">
        <v>145</v>
      </c>
      <c r="B743" s="283">
        <v>4110</v>
      </c>
      <c r="C743" s="284" t="s">
        <v>345</v>
      </c>
      <c r="D743" s="285">
        <v>1638975</v>
      </c>
    </row>
    <row r="744" spans="1:4" ht="15" customHeight="1">
      <c r="A744" s="282" t="s">
        <v>145</v>
      </c>
      <c r="B744" s="283">
        <v>4120</v>
      </c>
      <c r="C744" s="284" t="s">
        <v>346</v>
      </c>
      <c r="D744" s="285">
        <v>224023</v>
      </c>
    </row>
    <row r="745" spans="1:4" ht="15" customHeight="1">
      <c r="A745" s="282" t="s">
        <v>145</v>
      </c>
      <c r="B745" s="283">
        <v>4210</v>
      </c>
      <c r="C745" s="284" t="s">
        <v>349</v>
      </c>
      <c r="D745" s="285">
        <v>55000</v>
      </c>
    </row>
    <row r="746" spans="1:4" ht="15" customHeight="1">
      <c r="A746" s="282" t="s">
        <v>145</v>
      </c>
      <c r="B746" s="283">
        <v>4240</v>
      </c>
      <c r="C746" s="284" t="s">
        <v>393</v>
      </c>
      <c r="D746" s="285">
        <v>25000</v>
      </c>
    </row>
    <row r="747" spans="1:4" ht="15" customHeight="1">
      <c r="A747" s="282" t="s">
        <v>145</v>
      </c>
      <c r="B747" s="283">
        <v>4260</v>
      </c>
      <c r="C747" s="284" t="s">
        <v>351</v>
      </c>
      <c r="D747" s="285">
        <v>284000</v>
      </c>
    </row>
    <row r="748" spans="1:4" ht="15" customHeight="1">
      <c r="A748" s="282" t="s">
        <v>145</v>
      </c>
      <c r="B748" s="283">
        <v>4270</v>
      </c>
      <c r="C748" s="284" t="s">
        <v>352</v>
      </c>
      <c r="D748" s="285">
        <v>10000</v>
      </c>
    </row>
    <row r="749" spans="1:4" ht="15" customHeight="1">
      <c r="A749" s="282" t="s">
        <v>145</v>
      </c>
      <c r="B749" s="283">
        <v>4280</v>
      </c>
      <c r="C749" s="284" t="s">
        <v>373</v>
      </c>
      <c r="D749" s="285">
        <v>5000</v>
      </c>
    </row>
    <row r="750" spans="1:4" ht="15" customHeight="1">
      <c r="A750" s="282" t="s">
        <v>145</v>
      </c>
      <c r="B750" s="283">
        <v>4300</v>
      </c>
      <c r="C750" s="284" t="s">
        <v>353</v>
      </c>
      <c r="D750" s="285">
        <v>333503</v>
      </c>
    </row>
    <row r="751" spans="1:4" ht="15" customHeight="1">
      <c r="A751" s="282" t="s">
        <v>145</v>
      </c>
      <c r="B751" s="283">
        <v>4360</v>
      </c>
      <c r="C751" s="284" t="s">
        <v>354</v>
      </c>
      <c r="D751" s="285">
        <v>13900</v>
      </c>
    </row>
    <row r="752" spans="1:4" ht="15" customHeight="1">
      <c r="A752" s="282" t="s">
        <v>145</v>
      </c>
      <c r="B752" s="283">
        <v>4410</v>
      </c>
      <c r="C752" s="284" t="s">
        <v>357</v>
      </c>
      <c r="D752" s="285">
        <v>5400</v>
      </c>
    </row>
    <row r="753" spans="1:4" ht="15" customHeight="1">
      <c r="A753" s="282" t="s">
        <v>145</v>
      </c>
      <c r="B753" s="283">
        <v>4430</v>
      </c>
      <c r="C753" s="284" t="s">
        <v>359</v>
      </c>
      <c r="D753" s="285">
        <v>3500</v>
      </c>
    </row>
    <row r="754" spans="1:4" ht="15" customHeight="1">
      <c r="A754" s="282" t="s">
        <v>145</v>
      </c>
      <c r="B754" s="283">
        <v>4440</v>
      </c>
      <c r="C754" s="284" t="s">
        <v>375</v>
      </c>
      <c r="D754" s="285">
        <v>375322</v>
      </c>
    </row>
    <row r="755" spans="1:4" ht="15" customHeight="1">
      <c r="A755" s="282" t="s">
        <v>145</v>
      </c>
      <c r="B755" s="283">
        <v>4700</v>
      </c>
      <c r="C755" s="284" t="s">
        <v>360</v>
      </c>
      <c r="D755" s="285">
        <v>3600</v>
      </c>
    </row>
    <row r="756" spans="1:4" s="277" customFormat="1" ht="27.75" customHeight="1">
      <c r="A756" s="278">
        <v>80140</v>
      </c>
      <c r="B756" s="279" t="s">
        <v>145</v>
      </c>
      <c r="C756" s="280" t="s">
        <v>302</v>
      </c>
      <c r="D756" s="281">
        <f>SUM(D757:D788)</f>
        <v>4340039</v>
      </c>
    </row>
    <row r="757" spans="1:4" ht="15" customHeight="1">
      <c r="A757" s="282" t="s">
        <v>145</v>
      </c>
      <c r="B757" s="283">
        <v>3020</v>
      </c>
      <c r="C757" s="284" t="s">
        <v>371</v>
      </c>
      <c r="D757" s="285">
        <v>1500</v>
      </c>
    </row>
    <row r="758" spans="1:4" ht="15" customHeight="1">
      <c r="A758" s="282" t="s">
        <v>145</v>
      </c>
      <c r="B758" s="283">
        <v>4010</v>
      </c>
      <c r="C758" s="284" t="s">
        <v>343</v>
      </c>
      <c r="D758" s="285">
        <v>1618204</v>
      </c>
    </row>
    <row r="759" spans="1:4" ht="15" customHeight="1">
      <c r="A759" s="282" t="s">
        <v>145</v>
      </c>
      <c r="B759" s="283">
        <v>4017</v>
      </c>
      <c r="C759" s="284" t="s">
        <v>343</v>
      </c>
      <c r="D759" s="285">
        <v>338862</v>
      </c>
    </row>
    <row r="760" spans="1:4" ht="15" customHeight="1">
      <c r="A760" s="282" t="s">
        <v>145</v>
      </c>
      <c r="B760" s="283">
        <v>4019</v>
      </c>
      <c r="C760" s="284" t="s">
        <v>343</v>
      </c>
      <c r="D760" s="285">
        <v>59799</v>
      </c>
    </row>
    <row r="761" spans="1:4" ht="15" customHeight="1">
      <c r="A761" s="282" t="s">
        <v>145</v>
      </c>
      <c r="B761" s="283">
        <v>4040</v>
      </c>
      <c r="C761" s="284" t="s">
        <v>344</v>
      </c>
      <c r="D761" s="285">
        <v>127969</v>
      </c>
    </row>
    <row r="762" spans="1:4" ht="15" customHeight="1">
      <c r="A762" s="282" t="s">
        <v>145</v>
      </c>
      <c r="B762" s="283">
        <v>4110</v>
      </c>
      <c r="C762" s="284" t="s">
        <v>345</v>
      </c>
      <c r="D762" s="285">
        <v>288646</v>
      </c>
    </row>
    <row r="763" spans="1:4" ht="15" customHeight="1">
      <c r="A763" s="282" t="s">
        <v>145</v>
      </c>
      <c r="B763" s="283">
        <v>4117</v>
      </c>
      <c r="C763" s="284" t="s">
        <v>345</v>
      </c>
      <c r="D763" s="285">
        <v>58251</v>
      </c>
    </row>
    <row r="764" spans="1:4" ht="15" customHeight="1">
      <c r="A764" s="282" t="s">
        <v>145</v>
      </c>
      <c r="B764" s="283">
        <v>4119</v>
      </c>
      <c r="C764" s="284" t="s">
        <v>345</v>
      </c>
      <c r="D764" s="285">
        <v>10280</v>
      </c>
    </row>
    <row r="765" spans="1:4" ht="15" customHeight="1">
      <c r="A765" s="282" t="s">
        <v>145</v>
      </c>
      <c r="B765" s="283">
        <v>4120</v>
      </c>
      <c r="C765" s="284" t="s">
        <v>346</v>
      </c>
      <c r="D765" s="285">
        <v>25901</v>
      </c>
    </row>
    <row r="766" spans="1:4" ht="15" customHeight="1">
      <c r="A766" s="282" t="s">
        <v>145</v>
      </c>
      <c r="B766" s="283">
        <v>4127</v>
      </c>
      <c r="C766" s="284" t="s">
        <v>346</v>
      </c>
      <c r="D766" s="285">
        <v>8302</v>
      </c>
    </row>
    <row r="767" spans="1:4" ht="15" customHeight="1">
      <c r="A767" s="282" t="s">
        <v>145</v>
      </c>
      <c r="B767" s="283">
        <v>4129</v>
      </c>
      <c r="C767" s="284" t="s">
        <v>346</v>
      </c>
      <c r="D767" s="285">
        <v>1465</v>
      </c>
    </row>
    <row r="768" spans="1:4" ht="15" customHeight="1">
      <c r="A768" s="282" t="s">
        <v>145</v>
      </c>
      <c r="B768" s="283">
        <v>4210</v>
      </c>
      <c r="C768" s="284" t="s">
        <v>349</v>
      </c>
      <c r="D768" s="285">
        <v>70000</v>
      </c>
    </row>
    <row r="769" spans="1:4" ht="15" customHeight="1">
      <c r="A769" s="282" t="s">
        <v>145</v>
      </c>
      <c r="B769" s="283">
        <v>4240</v>
      </c>
      <c r="C769" s="284" t="s">
        <v>393</v>
      </c>
      <c r="D769" s="285">
        <v>3000</v>
      </c>
    </row>
    <row r="770" spans="1:4" ht="15" customHeight="1">
      <c r="A770" s="282" t="s">
        <v>145</v>
      </c>
      <c r="B770" s="283">
        <v>4260</v>
      </c>
      <c r="C770" s="284" t="s">
        <v>351</v>
      </c>
      <c r="D770" s="285">
        <v>24000</v>
      </c>
    </row>
    <row r="771" spans="1:4" ht="15" customHeight="1">
      <c r="A771" s="282" t="s">
        <v>145</v>
      </c>
      <c r="B771" s="283">
        <v>4270</v>
      </c>
      <c r="C771" s="284" t="s">
        <v>352</v>
      </c>
      <c r="D771" s="285">
        <v>3000</v>
      </c>
    </row>
    <row r="772" spans="1:4" ht="15" customHeight="1">
      <c r="A772" s="282" t="s">
        <v>145</v>
      </c>
      <c r="B772" s="283">
        <v>4280</v>
      </c>
      <c r="C772" s="284" t="s">
        <v>373</v>
      </c>
      <c r="D772" s="285">
        <v>3640</v>
      </c>
    </row>
    <row r="773" spans="1:4" ht="15" customHeight="1">
      <c r="A773" s="282" t="s">
        <v>145</v>
      </c>
      <c r="B773" s="283">
        <v>4300</v>
      </c>
      <c r="C773" s="284" t="s">
        <v>353</v>
      </c>
      <c r="D773" s="285">
        <v>46000</v>
      </c>
    </row>
    <row r="774" spans="1:4" ht="15" customHeight="1">
      <c r="A774" s="282" t="s">
        <v>145</v>
      </c>
      <c r="B774" s="283">
        <v>4307</v>
      </c>
      <c r="C774" s="284" t="s">
        <v>353</v>
      </c>
      <c r="D774" s="285">
        <v>21250</v>
      </c>
    </row>
    <row r="775" spans="1:4" ht="15" customHeight="1">
      <c r="A775" s="282" t="s">
        <v>145</v>
      </c>
      <c r="B775" s="283">
        <v>4309</v>
      </c>
      <c r="C775" s="284" t="s">
        <v>353</v>
      </c>
      <c r="D775" s="285">
        <v>3750</v>
      </c>
    </row>
    <row r="776" spans="1:4" ht="15" customHeight="1">
      <c r="A776" s="282" t="s">
        <v>145</v>
      </c>
      <c r="B776" s="283">
        <v>4360</v>
      </c>
      <c r="C776" s="284" t="s">
        <v>354</v>
      </c>
      <c r="D776" s="285">
        <v>4000</v>
      </c>
    </row>
    <row r="777" spans="1:4" ht="15" customHeight="1">
      <c r="A777" s="282" t="s">
        <v>145</v>
      </c>
      <c r="B777" s="283">
        <v>4400</v>
      </c>
      <c r="C777" s="284" t="s">
        <v>356</v>
      </c>
      <c r="D777" s="285">
        <v>34680</v>
      </c>
    </row>
    <row r="778" spans="1:4" ht="15" customHeight="1">
      <c r="A778" s="282" t="s">
        <v>145</v>
      </c>
      <c r="B778" s="283">
        <v>4410</v>
      </c>
      <c r="C778" s="284" t="s">
        <v>357</v>
      </c>
      <c r="D778" s="285">
        <v>10000</v>
      </c>
    </row>
    <row r="779" spans="1:4" ht="15" customHeight="1">
      <c r="A779" s="282" t="s">
        <v>145</v>
      </c>
      <c r="B779" s="283">
        <v>4430</v>
      </c>
      <c r="C779" s="284" t="s">
        <v>359</v>
      </c>
      <c r="D779" s="285">
        <v>2500</v>
      </c>
    </row>
    <row r="780" spans="1:4" ht="15" customHeight="1">
      <c r="A780" s="282" t="s">
        <v>145</v>
      </c>
      <c r="B780" s="283">
        <v>4440</v>
      </c>
      <c r="C780" s="284" t="s">
        <v>375</v>
      </c>
      <c r="D780" s="285">
        <v>72440</v>
      </c>
    </row>
    <row r="781" spans="1:4" ht="15" customHeight="1">
      <c r="A781" s="282" t="s">
        <v>145</v>
      </c>
      <c r="B781" s="283">
        <v>4520</v>
      </c>
      <c r="C781" s="284" t="s">
        <v>379</v>
      </c>
      <c r="D781" s="285">
        <v>1400</v>
      </c>
    </row>
    <row r="782" spans="1:4" ht="15" customHeight="1">
      <c r="A782" s="282" t="s">
        <v>145</v>
      </c>
      <c r="B782" s="283">
        <v>4700</v>
      </c>
      <c r="C782" s="284" t="s">
        <v>360</v>
      </c>
      <c r="D782" s="285">
        <v>1200</v>
      </c>
    </row>
    <row r="783" spans="1:4" ht="15" customHeight="1">
      <c r="A783" s="286" t="s">
        <v>145</v>
      </c>
      <c r="B783" s="287">
        <v>6050</v>
      </c>
      <c r="C783" s="288" t="s">
        <v>370</v>
      </c>
      <c r="D783" s="289">
        <v>735255</v>
      </c>
    </row>
    <row r="784" spans="1:4" ht="15" customHeight="1">
      <c r="A784" s="290" t="s">
        <v>145</v>
      </c>
      <c r="B784" s="291">
        <v>6057</v>
      </c>
      <c r="C784" s="292" t="s">
        <v>370</v>
      </c>
      <c r="D784" s="293">
        <v>544434</v>
      </c>
    </row>
    <row r="785" spans="1:4" ht="15" customHeight="1">
      <c r="A785" s="282" t="s">
        <v>145</v>
      </c>
      <c r="B785" s="283">
        <v>6059</v>
      </c>
      <c r="C785" s="284" t="s">
        <v>370</v>
      </c>
      <c r="D785" s="285">
        <v>96077</v>
      </c>
    </row>
    <row r="786" spans="1:4" ht="15" customHeight="1">
      <c r="A786" s="282" t="s">
        <v>145</v>
      </c>
      <c r="B786" s="283">
        <v>6060</v>
      </c>
      <c r="C786" s="284" t="s">
        <v>380</v>
      </c>
      <c r="D786" s="285">
        <v>3306</v>
      </c>
    </row>
    <row r="787" spans="1:4" ht="15" customHeight="1">
      <c r="A787" s="282" t="s">
        <v>145</v>
      </c>
      <c r="B787" s="283">
        <v>6067</v>
      </c>
      <c r="C787" s="284" t="s">
        <v>380</v>
      </c>
      <c r="D787" s="285">
        <v>102789</v>
      </c>
    </row>
    <row r="788" spans="1:4" ht="15" customHeight="1">
      <c r="A788" s="282" t="s">
        <v>145</v>
      </c>
      <c r="B788" s="283">
        <v>6069</v>
      </c>
      <c r="C788" s="284" t="s">
        <v>380</v>
      </c>
      <c r="D788" s="285">
        <v>18139</v>
      </c>
    </row>
    <row r="789" spans="1:4" s="277" customFormat="1" ht="15" customHeight="1">
      <c r="A789" s="278">
        <v>80146</v>
      </c>
      <c r="B789" s="279" t="s">
        <v>145</v>
      </c>
      <c r="C789" s="280" t="s">
        <v>114</v>
      </c>
      <c r="D789" s="281">
        <f>SUM(D790:D808)</f>
        <v>7807698</v>
      </c>
    </row>
    <row r="790" spans="1:4" ht="15" customHeight="1">
      <c r="A790" s="282" t="s">
        <v>145</v>
      </c>
      <c r="B790" s="283">
        <v>3020</v>
      </c>
      <c r="C790" s="284" t="s">
        <v>371</v>
      </c>
      <c r="D790" s="285">
        <v>8255</v>
      </c>
    </row>
    <row r="791" spans="1:4" ht="15" customHeight="1">
      <c r="A791" s="282" t="s">
        <v>145</v>
      </c>
      <c r="B791" s="283">
        <v>4010</v>
      </c>
      <c r="C791" s="284" t="s">
        <v>343</v>
      </c>
      <c r="D791" s="285">
        <v>5091619</v>
      </c>
    </row>
    <row r="792" spans="1:4" ht="15" customHeight="1">
      <c r="A792" s="282" t="s">
        <v>145</v>
      </c>
      <c r="B792" s="283">
        <v>4040</v>
      </c>
      <c r="C792" s="284" t="s">
        <v>344</v>
      </c>
      <c r="D792" s="285">
        <v>382951</v>
      </c>
    </row>
    <row r="793" spans="1:4" ht="15" customHeight="1">
      <c r="A793" s="282" t="s">
        <v>145</v>
      </c>
      <c r="B793" s="283">
        <v>4110</v>
      </c>
      <c r="C793" s="284" t="s">
        <v>345</v>
      </c>
      <c r="D793" s="285">
        <v>915499</v>
      </c>
    </row>
    <row r="794" spans="1:4" ht="15" customHeight="1">
      <c r="A794" s="282" t="s">
        <v>145</v>
      </c>
      <c r="B794" s="283">
        <v>4120</v>
      </c>
      <c r="C794" s="284" t="s">
        <v>346</v>
      </c>
      <c r="D794" s="285">
        <v>69815</v>
      </c>
    </row>
    <row r="795" spans="1:4" ht="15" customHeight="1">
      <c r="A795" s="282" t="s">
        <v>145</v>
      </c>
      <c r="B795" s="283">
        <v>4140</v>
      </c>
      <c r="C795" s="284" t="s">
        <v>372</v>
      </c>
      <c r="D795" s="285">
        <v>38950</v>
      </c>
    </row>
    <row r="796" spans="1:4" ht="15" customHeight="1">
      <c r="A796" s="282" t="s">
        <v>145</v>
      </c>
      <c r="B796" s="283">
        <v>4170</v>
      </c>
      <c r="C796" s="284" t="s">
        <v>347</v>
      </c>
      <c r="D796" s="285">
        <v>2400</v>
      </c>
    </row>
    <row r="797" spans="1:4" ht="15" customHeight="1">
      <c r="A797" s="282" t="s">
        <v>145</v>
      </c>
      <c r="B797" s="283">
        <v>4210</v>
      </c>
      <c r="C797" s="284" t="s">
        <v>349</v>
      </c>
      <c r="D797" s="285">
        <v>42325</v>
      </c>
    </row>
    <row r="798" spans="1:4" ht="15" customHeight="1">
      <c r="A798" s="282" t="s">
        <v>145</v>
      </c>
      <c r="B798" s="283">
        <v>4240</v>
      </c>
      <c r="C798" s="284" t="s">
        <v>393</v>
      </c>
      <c r="D798" s="285">
        <v>5800</v>
      </c>
    </row>
    <row r="799" spans="1:4" ht="15" customHeight="1">
      <c r="A799" s="282" t="s">
        <v>145</v>
      </c>
      <c r="B799" s="283">
        <v>4260</v>
      </c>
      <c r="C799" s="284" t="s">
        <v>351</v>
      </c>
      <c r="D799" s="285">
        <v>125000</v>
      </c>
    </row>
    <row r="800" spans="1:4" ht="15" customHeight="1">
      <c r="A800" s="282" t="s">
        <v>145</v>
      </c>
      <c r="B800" s="283">
        <v>4270</v>
      </c>
      <c r="C800" s="284" t="s">
        <v>352</v>
      </c>
      <c r="D800" s="285">
        <v>8092</v>
      </c>
    </row>
    <row r="801" spans="1:4" ht="15" customHeight="1">
      <c r="A801" s="282" t="s">
        <v>145</v>
      </c>
      <c r="B801" s="283">
        <v>4280</v>
      </c>
      <c r="C801" s="284" t="s">
        <v>373</v>
      </c>
      <c r="D801" s="285">
        <v>5000</v>
      </c>
    </row>
    <row r="802" spans="1:4" ht="15" customHeight="1">
      <c r="A802" s="282" t="s">
        <v>145</v>
      </c>
      <c r="B802" s="283">
        <v>4300</v>
      </c>
      <c r="C802" s="284" t="s">
        <v>353</v>
      </c>
      <c r="D802" s="285">
        <v>451284</v>
      </c>
    </row>
    <row r="803" spans="1:4" ht="15" customHeight="1">
      <c r="A803" s="282" t="s">
        <v>145</v>
      </c>
      <c r="B803" s="283">
        <v>4360</v>
      </c>
      <c r="C803" s="284" t="s">
        <v>354</v>
      </c>
      <c r="D803" s="285">
        <v>46000</v>
      </c>
    </row>
    <row r="804" spans="1:4" ht="15" customHeight="1">
      <c r="A804" s="282" t="s">
        <v>145</v>
      </c>
      <c r="B804" s="283">
        <v>4410</v>
      </c>
      <c r="C804" s="284" t="s">
        <v>357</v>
      </c>
      <c r="D804" s="285">
        <v>9800</v>
      </c>
    </row>
    <row r="805" spans="1:4" ht="15" customHeight="1">
      <c r="A805" s="282" t="s">
        <v>145</v>
      </c>
      <c r="B805" s="283">
        <v>4430</v>
      </c>
      <c r="C805" s="284" t="s">
        <v>359</v>
      </c>
      <c r="D805" s="285">
        <v>19037</v>
      </c>
    </row>
    <row r="806" spans="1:4" ht="15" customHeight="1">
      <c r="A806" s="282" t="s">
        <v>145</v>
      </c>
      <c r="B806" s="283">
        <v>4440</v>
      </c>
      <c r="C806" s="284" t="s">
        <v>375</v>
      </c>
      <c r="D806" s="285">
        <v>215701</v>
      </c>
    </row>
    <row r="807" spans="1:4" ht="15" customHeight="1">
      <c r="A807" s="282" t="s">
        <v>145</v>
      </c>
      <c r="B807" s="283">
        <v>4700</v>
      </c>
      <c r="C807" s="284" t="s">
        <v>360</v>
      </c>
      <c r="D807" s="285">
        <v>4170</v>
      </c>
    </row>
    <row r="808" spans="1:4" ht="15" customHeight="1">
      <c r="A808" s="282" t="s">
        <v>145</v>
      </c>
      <c r="B808" s="283">
        <v>6050</v>
      </c>
      <c r="C808" s="284" t="s">
        <v>370</v>
      </c>
      <c r="D808" s="285">
        <v>366000</v>
      </c>
    </row>
    <row r="809" spans="1:4" s="277" customFormat="1" ht="15" customHeight="1">
      <c r="A809" s="278">
        <v>80147</v>
      </c>
      <c r="B809" s="279" t="s">
        <v>145</v>
      </c>
      <c r="C809" s="280" t="s">
        <v>115</v>
      </c>
      <c r="D809" s="281">
        <f>SUM(D810:D826)</f>
        <v>6905757</v>
      </c>
    </row>
    <row r="810" spans="1:4" ht="15" customHeight="1">
      <c r="A810" s="282" t="s">
        <v>145</v>
      </c>
      <c r="B810" s="283">
        <v>3020</v>
      </c>
      <c r="C810" s="284" t="s">
        <v>371</v>
      </c>
      <c r="D810" s="285">
        <v>5285</v>
      </c>
    </row>
    <row r="811" spans="1:4" ht="15" customHeight="1">
      <c r="A811" s="282" t="s">
        <v>145</v>
      </c>
      <c r="B811" s="283">
        <v>4010</v>
      </c>
      <c r="C811" s="284" t="s">
        <v>343</v>
      </c>
      <c r="D811" s="285">
        <v>4573351</v>
      </c>
    </row>
    <row r="812" spans="1:4" ht="15" customHeight="1">
      <c r="A812" s="282" t="s">
        <v>145</v>
      </c>
      <c r="B812" s="283">
        <v>4040</v>
      </c>
      <c r="C812" s="284" t="s">
        <v>344</v>
      </c>
      <c r="D812" s="285">
        <v>334897</v>
      </c>
    </row>
    <row r="813" spans="1:4" ht="15" customHeight="1">
      <c r="A813" s="282" t="s">
        <v>145</v>
      </c>
      <c r="B813" s="283">
        <v>4110</v>
      </c>
      <c r="C813" s="284" t="s">
        <v>345</v>
      </c>
      <c r="D813" s="285">
        <v>818819</v>
      </c>
    </row>
    <row r="814" spans="1:4" ht="15" customHeight="1">
      <c r="A814" s="282" t="s">
        <v>145</v>
      </c>
      <c r="B814" s="283">
        <v>4120</v>
      </c>
      <c r="C814" s="284" t="s">
        <v>346</v>
      </c>
      <c r="D814" s="285">
        <v>90977</v>
      </c>
    </row>
    <row r="815" spans="1:4" ht="15" customHeight="1">
      <c r="A815" s="282" t="s">
        <v>145</v>
      </c>
      <c r="B815" s="283">
        <v>4170</v>
      </c>
      <c r="C815" s="284" t="s">
        <v>347</v>
      </c>
      <c r="D815" s="285">
        <v>17200</v>
      </c>
    </row>
    <row r="816" spans="1:4" ht="15" customHeight="1">
      <c r="A816" s="282" t="s">
        <v>145</v>
      </c>
      <c r="B816" s="283">
        <v>4210</v>
      </c>
      <c r="C816" s="284" t="s">
        <v>349</v>
      </c>
      <c r="D816" s="285">
        <v>183994</v>
      </c>
    </row>
    <row r="817" spans="1:4" ht="15" customHeight="1">
      <c r="A817" s="282" t="s">
        <v>145</v>
      </c>
      <c r="B817" s="283">
        <v>4240</v>
      </c>
      <c r="C817" s="284" t="s">
        <v>393</v>
      </c>
      <c r="D817" s="285">
        <v>108000</v>
      </c>
    </row>
    <row r="818" spans="1:4" ht="15" customHeight="1">
      <c r="A818" s="282" t="s">
        <v>145</v>
      </c>
      <c r="B818" s="283">
        <v>4260</v>
      </c>
      <c r="C818" s="284" t="s">
        <v>351</v>
      </c>
      <c r="D818" s="285">
        <v>284271</v>
      </c>
    </row>
    <row r="819" spans="1:4" ht="15" customHeight="1">
      <c r="A819" s="282" t="s">
        <v>145</v>
      </c>
      <c r="B819" s="283">
        <v>4270</v>
      </c>
      <c r="C819" s="284" t="s">
        <v>352</v>
      </c>
      <c r="D819" s="285">
        <v>152500</v>
      </c>
    </row>
    <row r="820" spans="1:4" ht="15" customHeight="1">
      <c r="A820" s="282" t="s">
        <v>145</v>
      </c>
      <c r="B820" s="283">
        <v>4280</v>
      </c>
      <c r="C820" s="284" t="s">
        <v>373</v>
      </c>
      <c r="D820" s="285">
        <v>4400</v>
      </c>
    </row>
    <row r="821" spans="1:4" ht="15" customHeight="1">
      <c r="A821" s="282" t="s">
        <v>145</v>
      </c>
      <c r="B821" s="283">
        <v>4300</v>
      </c>
      <c r="C821" s="284" t="s">
        <v>353</v>
      </c>
      <c r="D821" s="285">
        <v>59500</v>
      </c>
    </row>
    <row r="822" spans="1:4" ht="15" customHeight="1">
      <c r="A822" s="282" t="s">
        <v>145</v>
      </c>
      <c r="B822" s="283">
        <v>4360</v>
      </c>
      <c r="C822" s="284" t="s">
        <v>354</v>
      </c>
      <c r="D822" s="285">
        <v>22200</v>
      </c>
    </row>
    <row r="823" spans="1:4" ht="15" customHeight="1">
      <c r="A823" s="282" t="s">
        <v>145</v>
      </c>
      <c r="B823" s="283">
        <v>4410</v>
      </c>
      <c r="C823" s="284" t="s">
        <v>357</v>
      </c>
      <c r="D823" s="285">
        <v>4300</v>
      </c>
    </row>
    <row r="824" spans="1:4" ht="15" customHeight="1">
      <c r="A824" s="282" t="s">
        <v>145</v>
      </c>
      <c r="B824" s="283">
        <v>4430</v>
      </c>
      <c r="C824" s="284" t="s">
        <v>359</v>
      </c>
      <c r="D824" s="285">
        <v>9695</v>
      </c>
    </row>
    <row r="825" spans="1:4" ht="15" customHeight="1">
      <c r="A825" s="282" t="s">
        <v>145</v>
      </c>
      <c r="B825" s="283">
        <v>4440</v>
      </c>
      <c r="C825" s="284" t="s">
        <v>375</v>
      </c>
      <c r="D825" s="285">
        <v>230868</v>
      </c>
    </row>
    <row r="826" spans="1:4" ht="15" customHeight="1">
      <c r="A826" s="282" t="s">
        <v>145</v>
      </c>
      <c r="B826" s="283">
        <v>4700</v>
      </c>
      <c r="C826" s="284" t="s">
        <v>360</v>
      </c>
      <c r="D826" s="285">
        <v>5500</v>
      </c>
    </row>
    <row r="827" spans="1:4" s="277" customFormat="1" ht="39" customHeight="1">
      <c r="A827" s="278">
        <v>80149</v>
      </c>
      <c r="B827" s="279" t="s">
        <v>145</v>
      </c>
      <c r="C827" s="280" t="s">
        <v>209</v>
      </c>
      <c r="D827" s="281">
        <f>SUM(D828:D839)</f>
        <v>1252229</v>
      </c>
    </row>
    <row r="828" spans="1:4" ht="14.25" customHeight="1">
      <c r="A828" s="282" t="s">
        <v>145</v>
      </c>
      <c r="B828" s="283">
        <v>4010</v>
      </c>
      <c r="C828" s="284" t="s">
        <v>343</v>
      </c>
      <c r="D828" s="285">
        <v>966370</v>
      </c>
    </row>
    <row r="829" spans="1:4" ht="14.25" customHeight="1">
      <c r="A829" s="282" t="s">
        <v>145</v>
      </c>
      <c r="B829" s="283">
        <v>4040</v>
      </c>
      <c r="C829" s="284" t="s">
        <v>344</v>
      </c>
      <c r="D829" s="285">
        <v>34453</v>
      </c>
    </row>
    <row r="830" spans="1:4" ht="14.25" customHeight="1">
      <c r="A830" s="282" t="s">
        <v>145</v>
      </c>
      <c r="B830" s="283">
        <v>4110</v>
      </c>
      <c r="C830" s="284" t="s">
        <v>345</v>
      </c>
      <c r="D830" s="285">
        <v>174102</v>
      </c>
    </row>
    <row r="831" spans="1:4" ht="14.25" customHeight="1">
      <c r="A831" s="282" t="s">
        <v>145</v>
      </c>
      <c r="B831" s="283">
        <v>4120</v>
      </c>
      <c r="C831" s="284" t="s">
        <v>346</v>
      </c>
      <c r="D831" s="285">
        <v>24080</v>
      </c>
    </row>
    <row r="832" spans="1:4" ht="14.25" customHeight="1">
      <c r="A832" s="282" t="s">
        <v>145</v>
      </c>
      <c r="B832" s="283">
        <v>4210</v>
      </c>
      <c r="C832" s="284" t="s">
        <v>349</v>
      </c>
      <c r="D832" s="285">
        <v>2000</v>
      </c>
    </row>
    <row r="833" spans="1:4" ht="14.25" customHeight="1">
      <c r="A833" s="282" t="s">
        <v>145</v>
      </c>
      <c r="B833" s="283">
        <v>4240</v>
      </c>
      <c r="C833" s="284" t="s">
        <v>393</v>
      </c>
      <c r="D833" s="285">
        <v>1000</v>
      </c>
    </row>
    <row r="834" spans="1:4" ht="14.25" customHeight="1">
      <c r="A834" s="282" t="s">
        <v>145</v>
      </c>
      <c r="B834" s="283">
        <v>4260</v>
      </c>
      <c r="C834" s="284" t="s">
        <v>351</v>
      </c>
      <c r="D834" s="285">
        <v>10000</v>
      </c>
    </row>
    <row r="835" spans="1:4" ht="14.25" customHeight="1">
      <c r="A835" s="282" t="s">
        <v>145</v>
      </c>
      <c r="B835" s="283">
        <v>4270</v>
      </c>
      <c r="C835" s="284" t="s">
        <v>352</v>
      </c>
      <c r="D835" s="285">
        <v>1000</v>
      </c>
    </row>
    <row r="836" spans="1:4" ht="14.25" customHeight="1">
      <c r="A836" s="282" t="s">
        <v>145</v>
      </c>
      <c r="B836" s="283">
        <v>4280</v>
      </c>
      <c r="C836" s="284" t="s">
        <v>373</v>
      </c>
      <c r="D836" s="285">
        <v>500</v>
      </c>
    </row>
    <row r="837" spans="1:4" ht="14.25" customHeight="1">
      <c r="A837" s="282" t="s">
        <v>145</v>
      </c>
      <c r="B837" s="283">
        <v>4300</v>
      </c>
      <c r="C837" s="284" t="s">
        <v>353</v>
      </c>
      <c r="D837" s="285">
        <v>2000</v>
      </c>
    </row>
    <row r="838" spans="1:4" ht="14.25" customHeight="1">
      <c r="A838" s="282" t="s">
        <v>145</v>
      </c>
      <c r="B838" s="283">
        <v>4360</v>
      </c>
      <c r="C838" s="284" t="s">
        <v>354</v>
      </c>
      <c r="D838" s="285">
        <v>1000</v>
      </c>
    </row>
    <row r="839" spans="1:4" ht="14.25" customHeight="1">
      <c r="A839" s="282" t="s">
        <v>145</v>
      </c>
      <c r="B839" s="283">
        <v>4440</v>
      </c>
      <c r="C839" s="284" t="s">
        <v>375</v>
      </c>
      <c r="D839" s="285">
        <v>35724</v>
      </c>
    </row>
    <row r="840" spans="1:4" s="277" customFormat="1" ht="15" customHeight="1">
      <c r="A840" s="278">
        <v>80151</v>
      </c>
      <c r="B840" s="279" t="s">
        <v>145</v>
      </c>
      <c r="C840" s="280" t="s">
        <v>188</v>
      </c>
      <c r="D840" s="281">
        <f>SUM(D841:D845)</f>
        <v>86473</v>
      </c>
    </row>
    <row r="841" spans="1:4" ht="15" customHeight="1">
      <c r="A841" s="286" t="s">
        <v>145</v>
      </c>
      <c r="B841" s="287">
        <v>4010</v>
      </c>
      <c r="C841" s="288" t="s">
        <v>343</v>
      </c>
      <c r="D841" s="289">
        <v>65292</v>
      </c>
    </row>
    <row r="842" spans="1:4" ht="15" customHeight="1">
      <c r="A842" s="290" t="s">
        <v>145</v>
      </c>
      <c r="B842" s="291">
        <v>4040</v>
      </c>
      <c r="C842" s="292" t="s">
        <v>344</v>
      </c>
      <c r="D842" s="293">
        <v>6745</v>
      </c>
    </row>
    <row r="843" spans="1:4" ht="15" customHeight="1">
      <c r="A843" s="282" t="s">
        <v>145</v>
      </c>
      <c r="B843" s="283">
        <v>4110</v>
      </c>
      <c r="C843" s="284" t="s">
        <v>345</v>
      </c>
      <c r="D843" s="285">
        <v>12491</v>
      </c>
    </row>
    <row r="844" spans="1:4" ht="15" customHeight="1">
      <c r="A844" s="282" t="s">
        <v>145</v>
      </c>
      <c r="B844" s="283">
        <v>4120</v>
      </c>
      <c r="C844" s="284" t="s">
        <v>346</v>
      </c>
      <c r="D844" s="285">
        <v>1765</v>
      </c>
    </row>
    <row r="845" spans="1:4" ht="15" customHeight="1">
      <c r="A845" s="282" t="s">
        <v>145</v>
      </c>
      <c r="B845" s="283">
        <v>4440</v>
      </c>
      <c r="C845" s="284" t="s">
        <v>375</v>
      </c>
      <c r="D845" s="285">
        <v>180</v>
      </c>
    </row>
    <row r="846" spans="1:4" s="277" customFormat="1" ht="15" customHeight="1">
      <c r="A846" s="278">
        <v>80195</v>
      </c>
      <c r="B846" s="279" t="s">
        <v>145</v>
      </c>
      <c r="C846" s="280" t="s">
        <v>130</v>
      </c>
      <c r="D846" s="281">
        <f>SUM(D847:D883)</f>
        <v>12534135</v>
      </c>
    </row>
    <row r="847" spans="1:4" ht="39" customHeight="1">
      <c r="A847" s="282" t="s">
        <v>145</v>
      </c>
      <c r="B847" s="283">
        <v>2009</v>
      </c>
      <c r="C847" s="284" t="s">
        <v>341</v>
      </c>
      <c r="D847" s="285">
        <v>1637386</v>
      </c>
    </row>
    <row r="848" spans="1:4" ht="38.25" customHeight="1">
      <c r="A848" s="282" t="s">
        <v>145</v>
      </c>
      <c r="B848" s="283">
        <v>2057</v>
      </c>
      <c r="C848" s="284" t="s">
        <v>176</v>
      </c>
      <c r="D848" s="285">
        <v>3944852</v>
      </c>
    </row>
    <row r="849" spans="1:4" ht="39.75" customHeight="1">
      <c r="A849" s="282" t="s">
        <v>145</v>
      </c>
      <c r="B849" s="283">
        <v>2059</v>
      </c>
      <c r="C849" s="284" t="s">
        <v>176</v>
      </c>
      <c r="D849" s="285">
        <v>3874946</v>
      </c>
    </row>
    <row r="850" spans="1:4" ht="15" customHeight="1">
      <c r="A850" s="282" t="s">
        <v>145</v>
      </c>
      <c r="B850" s="283">
        <v>3020</v>
      </c>
      <c r="C850" s="284" t="s">
        <v>371</v>
      </c>
      <c r="D850" s="285">
        <v>100000</v>
      </c>
    </row>
    <row r="851" spans="1:4" ht="15" customHeight="1">
      <c r="A851" s="282" t="s">
        <v>145</v>
      </c>
      <c r="B851" s="283">
        <v>4010</v>
      </c>
      <c r="C851" s="284" t="s">
        <v>343</v>
      </c>
      <c r="D851" s="285">
        <v>93693</v>
      </c>
    </row>
    <row r="852" spans="1:4" ht="15" customHeight="1">
      <c r="A852" s="282" t="s">
        <v>145</v>
      </c>
      <c r="B852" s="283">
        <v>4017</v>
      </c>
      <c r="C852" s="284" t="s">
        <v>343</v>
      </c>
      <c r="D852" s="285">
        <v>487184</v>
      </c>
    </row>
    <row r="853" spans="1:4" ht="15" customHeight="1">
      <c r="A853" s="282" t="s">
        <v>145</v>
      </c>
      <c r="B853" s="283">
        <v>4019</v>
      </c>
      <c r="C853" s="284" t="s">
        <v>343</v>
      </c>
      <c r="D853" s="285">
        <v>53021</v>
      </c>
    </row>
    <row r="854" spans="1:4" ht="15" customHeight="1">
      <c r="A854" s="282" t="s">
        <v>145</v>
      </c>
      <c r="B854" s="283">
        <v>4047</v>
      </c>
      <c r="C854" s="284" t="s">
        <v>344</v>
      </c>
      <c r="D854" s="285">
        <v>1035</v>
      </c>
    </row>
    <row r="855" spans="1:4" ht="15" customHeight="1">
      <c r="A855" s="282" t="s">
        <v>145</v>
      </c>
      <c r="B855" s="283">
        <v>4049</v>
      </c>
      <c r="C855" s="284" t="s">
        <v>344</v>
      </c>
      <c r="D855" s="285">
        <v>1020</v>
      </c>
    </row>
    <row r="856" spans="1:4" ht="15" customHeight="1">
      <c r="A856" s="282" t="s">
        <v>145</v>
      </c>
      <c r="B856" s="283">
        <v>4110</v>
      </c>
      <c r="C856" s="284" t="s">
        <v>345</v>
      </c>
      <c r="D856" s="285">
        <v>16211</v>
      </c>
    </row>
    <row r="857" spans="1:4" ht="15" customHeight="1">
      <c r="A857" s="282" t="s">
        <v>145</v>
      </c>
      <c r="B857" s="283">
        <v>4117</v>
      </c>
      <c r="C857" s="284" t="s">
        <v>345</v>
      </c>
      <c r="D857" s="285">
        <v>84273</v>
      </c>
    </row>
    <row r="858" spans="1:4" ht="15" customHeight="1">
      <c r="A858" s="282" t="s">
        <v>145</v>
      </c>
      <c r="B858" s="283">
        <v>4119</v>
      </c>
      <c r="C858" s="284" t="s">
        <v>345</v>
      </c>
      <c r="D858" s="285">
        <v>9368</v>
      </c>
    </row>
    <row r="859" spans="1:4" ht="15" customHeight="1">
      <c r="A859" s="282" t="s">
        <v>145</v>
      </c>
      <c r="B859" s="283">
        <v>4120</v>
      </c>
      <c r="C859" s="284" t="s">
        <v>346</v>
      </c>
      <c r="D859" s="285">
        <v>6296</v>
      </c>
    </row>
    <row r="860" spans="1:4" ht="15" customHeight="1">
      <c r="A860" s="282" t="s">
        <v>145</v>
      </c>
      <c r="B860" s="283">
        <v>4127</v>
      </c>
      <c r="C860" s="284" t="s">
        <v>346</v>
      </c>
      <c r="D860" s="285">
        <v>11602</v>
      </c>
    </row>
    <row r="861" spans="1:4" ht="15" customHeight="1">
      <c r="A861" s="282" t="s">
        <v>145</v>
      </c>
      <c r="B861" s="283">
        <v>4129</v>
      </c>
      <c r="C861" s="284" t="s">
        <v>346</v>
      </c>
      <c r="D861" s="285">
        <v>953</v>
      </c>
    </row>
    <row r="862" spans="1:4" ht="15" customHeight="1">
      <c r="A862" s="282" t="s">
        <v>145</v>
      </c>
      <c r="B862" s="283">
        <v>4170</v>
      </c>
      <c r="C862" s="284" t="s">
        <v>347</v>
      </c>
      <c r="D862" s="285">
        <v>4800</v>
      </c>
    </row>
    <row r="863" spans="1:4" ht="15" customHeight="1">
      <c r="A863" s="282" t="s">
        <v>145</v>
      </c>
      <c r="B863" s="283">
        <v>4177</v>
      </c>
      <c r="C863" s="284" t="s">
        <v>347</v>
      </c>
      <c r="D863" s="285">
        <v>84631</v>
      </c>
    </row>
    <row r="864" spans="1:4" ht="15" customHeight="1">
      <c r="A864" s="282" t="s">
        <v>145</v>
      </c>
      <c r="B864" s="283">
        <v>4179</v>
      </c>
      <c r="C864" s="284" t="s">
        <v>347</v>
      </c>
      <c r="D864" s="285">
        <v>10357</v>
      </c>
    </row>
    <row r="865" spans="1:4" ht="15" customHeight="1">
      <c r="A865" s="282" t="s">
        <v>145</v>
      </c>
      <c r="B865" s="283">
        <v>4190</v>
      </c>
      <c r="C865" s="284" t="s">
        <v>348</v>
      </c>
      <c r="D865" s="285">
        <v>192500</v>
      </c>
    </row>
    <row r="866" spans="1:4" ht="15" customHeight="1">
      <c r="A866" s="282" t="s">
        <v>145</v>
      </c>
      <c r="B866" s="283">
        <v>4210</v>
      </c>
      <c r="C866" s="284" t="s">
        <v>349</v>
      </c>
      <c r="D866" s="285">
        <v>22000</v>
      </c>
    </row>
    <row r="867" spans="1:4" ht="15" customHeight="1">
      <c r="A867" s="282" t="s">
        <v>145</v>
      </c>
      <c r="B867" s="283">
        <v>4217</v>
      </c>
      <c r="C867" s="284" t="s">
        <v>349</v>
      </c>
      <c r="D867" s="285">
        <v>15278</v>
      </c>
    </row>
    <row r="868" spans="1:4" ht="15" customHeight="1">
      <c r="A868" s="282" t="s">
        <v>145</v>
      </c>
      <c r="B868" s="283">
        <v>4219</v>
      </c>
      <c r="C868" s="284" t="s">
        <v>349</v>
      </c>
      <c r="D868" s="285">
        <v>33</v>
      </c>
    </row>
    <row r="869" spans="1:4" ht="14.25" customHeight="1">
      <c r="A869" s="282" t="s">
        <v>145</v>
      </c>
      <c r="B869" s="283">
        <v>4220</v>
      </c>
      <c r="C869" s="284" t="s">
        <v>350</v>
      </c>
      <c r="D869" s="285">
        <v>1000</v>
      </c>
    </row>
    <row r="870" spans="1:4" ht="14.25" customHeight="1">
      <c r="A870" s="282" t="s">
        <v>145</v>
      </c>
      <c r="B870" s="283">
        <v>4247</v>
      </c>
      <c r="C870" s="284" t="s">
        <v>393</v>
      </c>
      <c r="D870" s="285">
        <v>74656</v>
      </c>
    </row>
    <row r="871" spans="1:4" ht="14.25" customHeight="1">
      <c r="A871" s="282" t="s">
        <v>145</v>
      </c>
      <c r="B871" s="283">
        <v>4249</v>
      </c>
      <c r="C871" s="284" t="s">
        <v>393</v>
      </c>
      <c r="D871" s="285">
        <v>9152</v>
      </c>
    </row>
    <row r="872" spans="1:4" ht="14.25" customHeight="1">
      <c r="A872" s="282" t="s">
        <v>145</v>
      </c>
      <c r="B872" s="283">
        <v>4267</v>
      </c>
      <c r="C872" s="284" t="s">
        <v>351</v>
      </c>
      <c r="D872" s="285">
        <v>4998</v>
      </c>
    </row>
    <row r="873" spans="1:4" ht="14.25" customHeight="1">
      <c r="A873" s="282" t="s">
        <v>145</v>
      </c>
      <c r="B873" s="283">
        <v>4269</v>
      </c>
      <c r="C873" s="284" t="s">
        <v>351</v>
      </c>
      <c r="D873" s="285">
        <v>304</v>
      </c>
    </row>
    <row r="874" spans="1:4" ht="14.25" customHeight="1">
      <c r="A874" s="282" t="s">
        <v>145</v>
      </c>
      <c r="B874" s="283">
        <v>4300</v>
      </c>
      <c r="C874" s="284" t="s">
        <v>353</v>
      </c>
      <c r="D874" s="285">
        <v>129000</v>
      </c>
    </row>
    <row r="875" spans="1:4" ht="14.25" customHeight="1">
      <c r="A875" s="282" t="s">
        <v>145</v>
      </c>
      <c r="B875" s="283">
        <v>4307</v>
      </c>
      <c r="C875" s="284" t="s">
        <v>353</v>
      </c>
      <c r="D875" s="285">
        <v>802058</v>
      </c>
    </row>
    <row r="876" spans="1:4" ht="14.25" customHeight="1">
      <c r="A876" s="282" t="s">
        <v>145</v>
      </c>
      <c r="B876" s="283">
        <v>4309</v>
      </c>
      <c r="C876" s="284" t="s">
        <v>353</v>
      </c>
      <c r="D876" s="285">
        <v>84759</v>
      </c>
    </row>
    <row r="877" spans="1:4" ht="14.25" customHeight="1">
      <c r="A877" s="282" t="s">
        <v>145</v>
      </c>
      <c r="B877" s="283">
        <v>4417</v>
      </c>
      <c r="C877" s="284" t="s">
        <v>357</v>
      </c>
      <c r="D877" s="285">
        <v>20885</v>
      </c>
    </row>
    <row r="878" spans="1:4" ht="14.25" customHeight="1">
      <c r="A878" s="282" t="s">
        <v>145</v>
      </c>
      <c r="B878" s="283">
        <v>4419</v>
      </c>
      <c r="C878" s="284" t="s">
        <v>357</v>
      </c>
      <c r="D878" s="285">
        <v>2560</v>
      </c>
    </row>
    <row r="879" spans="1:4" ht="14.25" customHeight="1">
      <c r="A879" s="282" t="s">
        <v>145</v>
      </c>
      <c r="B879" s="283">
        <v>4440</v>
      </c>
      <c r="C879" s="284" t="s">
        <v>375</v>
      </c>
      <c r="D879" s="285">
        <v>599324</v>
      </c>
    </row>
    <row r="880" spans="1:4" ht="14.25" customHeight="1">
      <c r="A880" s="282" t="s">
        <v>145</v>
      </c>
      <c r="B880" s="283">
        <v>4700</v>
      </c>
      <c r="C880" s="284" t="s">
        <v>360</v>
      </c>
      <c r="D880" s="285">
        <v>8000</v>
      </c>
    </row>
    <row r="881" spans="1:4" ht="14.25" customHeight="1">
      <c r="A881" s="282" t="s">
        <v>145</v>
      </c>
      <c r="B881" s="283">
        <v>6067</v>
      </c>
      <c r="C881" s="284" t="s">
        <v>380</v>
      </c>
      <c r="D881" s="285">
        <v>81000</v>
      </c>
    </row>
    <row r="882" spans="1:4" ht="39" customHeight="1">
      <c r="A882" s="282" t="s">
        <v>145</v>
      </c>
      <c r="B882" s="283">
        <v>6209</v>
      </c>
      <c r="C882" s="284" t="s">
        <v>384</v>
      </c>
      <c r="D882" s="285">
        <v>20000</v>
      </c>
    </row>
    <row r="883" spans="1:4" ht="39.75" customHeight="1">
      <c r="A883" s="282" t="s">
        <v>145</v>
      </c>
      <c r="B883" s="283">
        <v>6259</v>
      </c>
      <c r="C883" s="284" t="s">
        <v>148</v>
      </c>
      <c r="D883" s="285">
        <v>45000</v>
      </c>
    </row>
    <row r="884" spans="1:4" s="277" customFormat="1" ht="15" customHeight="1">
      <c r="A884" s="273" t="s">
        <v>309</v>
      </c>
      <c r="B884" s="274" t="s">
        <v>145</v>
      </c>
      <c r="C884" s="275" t="s">
        <v>310</v>
      </c>
      <c r="D884" s="276">
        <f>D885</f>
        <v>2100000</v>
      </c>
    </row>
    <row r="885" spans="1:4" s="277" customFormat="1" ht="14.25" customHeight="1">
      <c r="A885" s="278">
        <v>80395</v>
      </c>
      <c r="B885" s="279" t="s">
        <v>145</v>
      </c>
      <c r="C885" s="280" t="s">
        <v>130</v>
      </c>
      <c r="D885" s="281">
        <f>D886</f>
        <v>2100000</v>
      </c>
    </row>
    <row r="886" spans="1:4" ht="26.25" customHeight="1">
      <c r="A886" s="282" t="s">
        <v>145</v>
      </c>
      <c r="B886" s="283">
        <v>6220</v>
      </c>
      <c r="C886" s="284" t="s">
        <v>385</v>
      </c>
      <c r="D886" s="285">
        <v>2100000</v>
      </c>
    </row>
    <row r="887" spans="1:4" s="277" customFormat="1" ht="15" customHeight="1">
      <c r="A887" s="273" t="s">
        <v>96</v>
      </c>
      <c r="B887" s="274" t="s">
        <v>145</v>
      </c>
      <c r="C887" s="275" t="s">
        <v>97</v>
      </c>
      <c r="D887" s="276">
        <f>D888+D890+D892+D894+D903+D909+D916+D918</f>
        <v>35209993</v>
      </c>
    </row>
    <row r="888" spans="1:4" s="277" customFormat="1" ht="15" customHeight="1">
      <c r="A888" s="278">
        <v>85111</v>
      </c>
      <c r="B888" s="279" t="s">
        <v>145</v>
      </c>
      <c r="C888" s="280" t="s">
        <v>311</v>
      </c>
      <c r="D888" s="281">
        <f>D889</f>
        <v>464563</v>
      </c>
    </row>
    <row r="889" spans="1:4" ht="25.5" customHeight="1">
      <c r="A889" s="282" t="s">
        <v>145</v>
      </c>
      <c r="B889" s="283">
        <v>6220</v>
      </c>
      <c r="C889" s="284" t="s">
        <v>385</v>
      </c>
      <c r="D889" s="285">
        <v>464563</v>
      </c>
    </row>
    <row r="890" spans="1:4" s="277" customFormat="1" ht="15" customHeight="1">
      <c r="A890" s="278">
        <v>85141</v>
      </c>
      <c r="B890" s="279" t="s">
        <v>145</v>
      </c>
      <c r="C890" s="280" t="s">
        <v>312</v>
      </c>
      <c r="D890" s="281">
        <f>D891</f>
        <v>286128</v>
      </c>
    </row>
    <row r="891" spans="1:4" ht="26.25" customHeight="1">
      <c r="A891" s="286" t="s">
        <v>145</v>
      </c>
      <c r="B891" s="287">
        <v>6220</v>
      </c>
      <c r="C891" s="288" t="s">
        <v>385</v>
      </c>
      <c r="D891" s="289">
        <v>286128</v>
      </c>
    </row>
    <row r="892" spans="1:4" s="277" customFormat="1" ht="15" customHeight="1">
      <c r="A892" s="294">
        <v>85148</v>
      </c>
      <c r="B892" s="295" t="s">
        <v>145</v>
      </c>
      <c r="C892" s="296" t="s">
        <v>313</v>
      </c>
      <c r="D892" s="297">
        <f>D893</f>
        <v>3350000</v>
      </c>
    </row>
    <row r="893" spans="1:4" ht="15" customHeight="1">
      <c r="A893" s="282" t="s">
        <v>145</v>
      </c>
      <c r="B893" s="283">
        <v>4280</v>
      </c>
      <c r="C893" s="284" t="s">
        <v>373</v>
      </c>
      <c r="D893" s="285">
        <v>3350000</v>
      </c>
    </row>
    <row r="894" spans="1:4" s="277" customFormat="1" ht="15" customHeight="1">
      <c r="A894" s="278">
        <v>85149</v>
      </c>
      <c r="B894" s="279" t="s">
        <v>145</v>
      </c>
      <c r="C894" s="280" t="s">
        <v>314</v>
      </c>
      <c r="D894" s="281">
        <f>SUM(D895:D902)</f>
        <v>3727000</v>
      </c>
    </row>
    <row r="895" spans="1:4" ht="39" customHeight="1">
      <c r="A895" s="282" t="s">
        <v>145</v>
      </c>
      <c r="B895" s="283">
        <v>2009</v>
      </c>
      <c r="C895" s="284" t="s">
        <v>341</v>
      </c>
      <c r="D895" s="285">
        <v>2665000</v>
      </c>
    </row>
    <row r="896" spans="1:4" ht="38.25" customHeight="1">
      <c r="A896" s="282" t="s">
        <v>145</v>
      </c>
      <c r="B896" s="283">
        <v>2360</v>
      </c>
      <c r="C896" s="284" t="s">
        <v>383</v>
      </c>
      <c r="D896" s="285">
        <v>100000</v>
      </c>
    </row>
    <row r="897" spans="1:4" ht="27.75" customHeight="1">
      <c r="A897" s="282" t="s">
        <v>145</v>
      </c>
      <c r="B897" s="283">
        <v>2780</v>
      </c>
      <c r="C897" s="284" t="s">
        <v>394</v>
      </c>
      <c r="D897" s="285">
        <v>875000</v>
      </c>
    </row>
    <row r="898" spans="1:4" ht="15" customHeight="1">
      <c r="A898" s="282" t="s">
        <v>145</v>
      </c>
      <c r="B898" s="283">
        <v>4170</v>
      </c>
      <c r="C898" s="284" t="s">
        <v>347</v>
      </c>
      <c r="D898" s="285">
        <v>1000</v>
      </c>
    </row>
    <row r="899" spans="1:4" ht="15" customHeight="1">
      <c r="A899" s="282" t="s">
        <v>145</v>
      </c>
      <c r="B899" s="283">
        <v>4190</v>
      </c>
      <c r="C899" s="284" t="s">
        <v>348</v>
      </c>
      <c r="D899" s="285">
        <v>2000</v>
      </c>
    </row>
    <row r="900" spans="1:4" ht="15" customHeight="1">
      <c r="A900" s="282" t="s">
        <v>145</v>
      </c>
      <c r="B900" s="283">
        <v>4210</v>
      </c>
      <c r="C900" s="284" t="s">
        <v>349</v>
      </c>
      <c r="D900" s="285">
        <v>2000</v>
      </c>
    </row>
    <row r="901" spans="1:4" ht="15" customHeight="1">
      <c r="A901" s="282" t="s">
        <v>145</v>
      </c>
      <c r="B901" s="283">
        <v>4300</v>
      </c>
      <c r="C901" s="284" t="s">
        <v>353</v>
      </c>
      <c r="D901" s="285">
        <v>70000</v>
      </c>
    </row>
    <row r="902" spans="1:4" ht="40.5" customHeight="1">
      <c r="A902" s="282" t="s">
        <v>145</v>
      </c>
      <c r="B902" s="283">
        <v>6209</v>
      </c>
      <c r="C902" s="284" t="s">
        <v>384</v>
      </c>
      <c r="D902" s="285">
        <v>12000</v>
      </c>
    </row>
    <row r="903" spans="1:4" s="277" customFormat="1" ht="15" customHeight="1">
      <c r="A903" s="278">
        <v>85153</v>
      </c>
      <c r="B903" s="279" t="s">
        <v>145</v>
      </c>
      <c r="C903" s="280" t="s">
        <v>315</v>
      </c>
      <c r="D903" s="281">
        <f>SUM(D904:D908)</f>
        <v>480000</v>
      </c>
    </row>
    <row r="904" spans="1:4" ht="39.75" customHeight="1">
      <c r="A904" s="282" t="s">
        <v>145</v>
      </c>
      <c r="B904" s="283">
        <v>2360</v>
      </c>
      <c r="C904" s="284" t="s">
        <v>383</v>
      </c>
      <c r="D904" s="285">
        <v>350000</v>
      </c>
    </row>
    <row r="905" spans="1:4" ht="15" customHeight="1">
      <c r="A905" s="282" t="s">
        <v>145</v>
      </c>
      <c r="B905" s="283">
        <v>4170</v>
      </c>
      <c r="C905" s="284" t="s">
        <v>347</v>
      </c>
      <c r="D905" s="285">
        <v>14000</v>
      </c>
    </row>
    <row r="906" spans="1:4" ht="15" customHeight="1">
      <c r="A906" s="282" t="s">
        <v>145</v>
      </c>
      <c r="B906" s="283">
        <v>4190</v>
      </c>
      <c r="C906" s="284" t="s">
        <v>348</v>
      </c>
      <c r="D906" s="285">
        <v>11000</v>
      </c>
    </row>
    <row r="907" spans="1:4" ht="15" customHeight="1">
      <c r="A907" s="282" t="s">
        <v>145</v>
      </c>
      <c r="B907" s="283">
        <v>4210</v>
      </c>
      <c r="C907" s="284" t="s">
        <v>349</v>
      </c>
      <c r="D907" s="285">
        <v>7000</v>
      </c>
    </row>
    <row r="908" spans="1:4" ht="15" customHeight="1">
      <c r="A908" s="282" t="s">
        <v>145</v>
      </c>
      <c r="B908" s="283">
        <v>4300</v>
      </c>
      <c r="C908" s="284" t="s">
        <v>353</v>
      </c>
      <c r="D908" s="285">
        <v>98000</v>
      </c>
    </row>
    <row r="909" spans="1:4" s="277" customFormat="1" ht="15" customHeight="1">
      <c r="A909" s="278">
        <v>85154</v>
      </c>
      <c r="B909" s="279" t="s">
        <v>145</v>
      </c>
      <c r="C909" s="280" t="s">
        <v>316</v>
      </c>
      <c r="D909" s="281">
        <f>SUM(D910:D915)</f>
        <v>2290000</v>
      </c>
    </row>
    <row r="910" spans="1:4" ht="39.75" customHeight="1">
      <c r="A910" s="282" t="s">
        <v>145</v>
      </c>
      <c r="B910" s="283">
        <v>2360</v>
      </c>
      <c r="C910" s="284" t="s">
        <v>383</v>
      </c>
      <c r="D910" s="285">
        <v>330000</v>
      </c>
    </row>
    <row r="911" spans="1:4" ht="14.25" customHeight="1">
      <c r="A911" s="282" t="s">
        <v>145</v>
      </c>
      <c r="B911" s="283">
        <v>2800</v>
      </c>
      <c r="C911" s="284" t="s">
        <v>367</v>
      </c>
      <c r="D911" s="285">
        <v>30000</v>
      </c>
    </row>
    <row r="912" spans="1:4" ht="15" customHeight="1">
      <c r="A912" s="282" t="s">
        <v>145</v>
      </c>
      <c r="B912" s="283">
        <v>4170</v>
      </c>
      <c r="C912" s="284" t="s">
        <v>347</v>
      </c>
      <c r="D912" s="285">
        <v>6000</v>
      </c>
    </row>
    <row r="913" spans="1:4" ht="15" customHeight="1">
      <c r="A913" s="282" t="s">
        <v>145</v>
      </c>
      <c r="B913" s="283">
        <v>4210</v>
      </c>
      <c r="C913" s="284" t="s">
        <v>349</v>
      </c>
      <c r="D913" s="285">
        <v>4000</v>
      </c>
    </row>
    <row r="914" spans="1:4" ht="15" customHeight="1">
      <c r="A914" s="282" t="s">
        <v>145</v>
      </c>
      <c r="B914" s="283">
        <v>4300</v>
      </c>
      <c r="C914" s="284" t="s">
        <v>353</v>
      </c>
      <c r="D914" s="285">
        <v>20000</v>
      </c>
    </row>
    <row r="915" spans="1:4" ht="27" customHeight="1">
      <c r="A915" s="282" t="s">
        <v>145</v>
      </c>
      <c r="B915" s="283">
        <v>6220</v>
      </c>
      <c r="C915" s="284" t="s">
        <v>385</v>
      </c>
      <c r="D915" s="285">
        <v>1900000</v>
      </c>
    </row>
    <row r="916" spans="1:4" s="277" customFormat="1" ht="27.75" customHeight="1">
      <c r="A916" s="278">
        <v>85156</v>
      </c>
      <c r="B916" s="279" t="s">
        <v>145</v>
      </c>
      <c r="C916" s="280" t="s">
        <v>116</v>
      </c>
      <c r="D916" s="281">
        <f>D917</f>
        <v>16000</v>
      </c>
    </row>
    <row r="917" spans="1:4" ht="15" customHeight="1">
      <c r="A917" s="282" t="s">
        <v>145</v>
      </c>
      <c r="B917" s="283">
        <v>4130</v>
      </c>
      <c r="C917" s="284" t="s">
        <v>395</v>
      </c>
      <c r="D917" s="285">
        <v>16000</v>
      </c>
    </row>
    <row r="918" spans="1:4" s="277" customFormat="1" ht="15" customHeight="1">
      <c r="A918" s="278">
        <v>85195</v>
      </c>
      <c r="B918" s="279" t="s">
        <v>145</v>
      </c>
      <c r="C918" s="280" t="s">
        <v>130</v>
      </c>
      <c r="D918" s="281">
        <f>SUM(D919:D935)</f>
        <v>24596302</v>
      </c>
    </row>
    <row r="919" spans="1:4" ht="39" customHeight="1">
      <c r="A919" s="282" t="s">
        <v>145</v>
      </c>
      <c r="B919" s="283">
        <v>2009</v>
      </c>
      <c r="C919" s="284" t="s">
        <v>341</v>
      </c>
      <c r="D919" s="285">
        <v>966000</v>
      </c>
    </row>
    <row r="920" spans="1:4" ht="40.5" customHeight="1">
      <c r="A920" s="282" t="s">
        <v>145</v>
      </c>
      <c r="B920" s="283">
        <v>2059</v>
      </c>
      <c r="C920" s="284" t="s">
        <v>176</v>
      </c>
      <c r="D920" s="285">
        <v>18000</v>
      </c>
    </row>
    <row r="921" spans="1:4" ht="14.25" customHeight="1">
      <c r="A921" s="282" t="s">
        <v>145</v>
      </c>
      <c r="B921" s="283">
        <v>4017</v>
      </c>
      <c r="C921" s="284" t="s">
        <v>343</v>
      </c>
      <c r="D921" s="285">
        <v>65148</v>
      </c>
    </row>
    <row r="922" spans="1:4" ht="14.25" customHeight="1">
      <c r="A922" s="282" t="s">
        <v>145</v>
      </c>
      <c r="B922" s="283">
        <v>4019</v>
      </c>
      <c r="C922" s="284" t="s">
        <v>343</v>
      </c>
      <c r="D922" s="285">
        <v>11081</v>
      </c>
    </row>
    <row r="923" spans="1:4" ht="14.25" customHeight="1">
      <c r="A923" s="282" t="s">
        <v>145</v>
      </c>
      <c r="B923" s="283">
        <v>4117</v>
      </c>
      <c r="C923" s="284" t="s">
        <v>345</v>
      </c>
      <c r="D923" s="285">
        <v>11199</v>
      </c>
    </row>
    <row r="924" spans="1:4" ht="14.25" customHeight="1">
      <c r="A924" s="282" t="s">
        <v>145</v>
      </c>
      <c r="B924" s="283">
        <v>4119</v>
      </c>
      <c r="C924" s="284" t="s">
        <v>345</v>
      </c>
      <c r="D924" s="285">
        <v>1905</v>
      </c>
    </row>
    <row r="925" spans="1:4" ht="14.25" customHeight="1">
      <c r="A925" s="282" t="s">
        <v>145</v>
      </c>
      <c r="B925" s="283">
        <v>4127</v>
      </c>
      <c r="C925" s="284" t="s">
        <v>346</v>
      </c>
      <c r="D925" s="285">
        <v>1595</v>
      </c>
    </row>
    <row r="926" spans="1:4" ht="14.25" customHeight="1">
      <c r="A926" s="282" t="s">
        <v>145</v>
      </c>
      <c r="B926" s="283">
        <v>4129</v>
      </c>
      <c r="C926" s="284" t="s">
        <v>346</v>
      </c>
      <c r="D926" s="285">
        <v>272</v>
      </c>
    </row>
    <row r="927" spans="1:4" ht="14.25" customHeight="1">
      <c r="A927" s="282" t="s">
        <v>145</v>
      </c>
      <c r="B927" s="283">
        <v>4177</v>
      </c>
      <c r="C927" s="284" t="s">
        <v>347</v>
      </c>
      <c r="D927" s="285">
        <v>10256</v>
      </c>
    </row>
    <row r="928" spans="1:4" ht="14.25" customHeight="1">
      <c r="A928" s="282" t="s">
        <v>145</v>
      </c>
      <c r="B928" s="283">
        <v>4179</v>
      </c>
      <c r="C928" s="284" t="s">
        <v>347</v>
      </c>
      <c r="D928" s="285">
        <v>794</v>
      </c>
    </row>
    <row r="929" spans="1:4" ht="14.25" customHeight="1">
      <c r="A929" s="282" t="s">
        <v>145</v>
      </c>
      <c r="B929" s="283">
        <v>4300</v>
      </c>
      <c r="C929" s="284" t="s">
        <v>353</v>
      </c>
      <c r="D929" s="285">
        <v>12000</v>
      </c>
    </row>
    <row r="930" spans="1:4" ht="14.25" customHeight="1">
      <c r="A930" s="282" t="s">
        <v>145</v>
      </c>
      <c r="B930" s="283">
        <v>4307</v>
      </c>
      <c r="C930" s="284" t="s">
        <v>353</v>
      </c>
      <c r="D930" s="285">
        <v>382334</v>
      </c>
    </row>
    <row r="931" spans="1:4" ht="14.25" customHeight="1">
      <c r="A931" s="282" t="s">
        <v>145</v>
      </c>
      <c r="B931" s="283">
        <v>4309</v>
      </c>
      <c r="C931" s="284" t="s">
        <v>353</v>
      </c>
      <c r="D931" s="285">
        <v>65718</v>
      </c>
    </row>
    <row r="932" spans="1:4" ht="14.25" customHeight="1">
      <c r="A932" s="282" t="s">
        <v>145</v>
      </c>
      <c r="B932" s="283">
        <v>4417</v>
      </c>
      <c r="C932" s="284" t="s">
        <v>357</v>
      </c>
      <c r="D932" s="285">
        <v>464</v>
      </c>
    </row>
    <row r="933" spans="1:4" ht="14.25" customHeight="1">
      <c r="A933" s="282" t="s">
        <v>145</v>
      </c>
      <c r="B933" s="283">
        <v>4419</v>
      </c>
      <c r="C933" s="284" t="s">
        <v>357</v>
      </c>
      <c r="D933" s="285">
        <v>36</v>
      </c>
    </row>
    <row r="934" spans="1:4" ht="14.25" customHeight="1">
      <c r="A934" s="282" t="s">
        <v>145</v>
      </c>
      <c r="B934" s="283">
        <v>6010</v>
      </c>
      <c r="C934" s="284" t="s">
        <v>382</v>
      </c>
      <c r="D934" s="285">
        <v>22962500</v>
      </c>
    </row>
    <row r="935" spans="1:4" ht="39" customHeight="1">
      <c r="A935" s="286" t="s">
        <v>145</v>
      </c>
      <c r="B935" s="287">
        <v>6209</v>
      </c>
      <c r="C935" s="288" t="s">
        <v>384</v>
      </c>
      <c r="D935" s="289">
        <v>87000</v>
      </c>
    </row>
    <row r="936" spans="1:4" s="277" customFormat="1" ht="15" customHeight="1">
      <c r="A936" s="273" t="s">
        <v>60</v>
      </c>
      <c r="B936" s="274" t="s">
        <v>145</v>
      </c>
      <c r="C936" s="275" t="s">
        <v>98</v>
      </c>
      <c r="D936" s="276">
        <f>D937+D940+D950+D973+D977</f>
        <v>30182790</v>
      </c>
    </row>
    <row r="937" spans="1:4" s="277" customFormat="1" ht="15" customHeight="1">
      <c r="A937" s="278">
        <v>85203</v>
      </c>
      <c r="B937" s="279" t="s">
        <v>145</v>
      </c>
      <c r="C937" s="280" t="s">
        <v>317</v>
      </c>
      <c r="D937" s="281">
        <f>SUM(D938:D939)</f>
        <v>2030000</v>
      </c>
    </row>
    <row r="938" spans="1:4" ht="40.5" customHeight="1">
      <c r="A938" s="282" t="s">
        <v>145</v>
      </c>
      <c r="B938" s="283">
        <v>2009</v>
      </c>
      <c r="C938" s="284" t="s">
        <v>341</v>
      </c>
      <c r="D938" s="285">
        <v>1950000</v>
      </c>
    </row>
    <row r="939" spans="1:4" ht="41.25" customHeight="1">
      <c r="A939" s="282" t="s">
        <v>145</v>
      </c>
      <c r="B939" s="283">
        <v>6209</v>
      </c>
      <c r="C939" s="284" t="s">
        <v>384</v>
      </c>
      <c r="D939" s="285">
        <v>80000</v>
      </c>
    </row>
    <row r="940" spans="1:4" s="277" customFormat="1" ht="15" customHeight="1">
      <c r="A940" s="278">
        <v>85205</v>
      </c>
      <c r="B940" s="279" t="s">
        <v>145</v>
      </c>
      <c r="C940" s="280" t="s">
        <v>143</v>
      </c>
      <c r="D940" s="281">
        <f>SUM(D941:D949)</f>
        <v>504000</v>
      </c>
    </row>
    <row r="941" spans="1:4" ht="42" customHeight="1">
      <c r="A941" s="282" t="s">
        <v>145</v>
      </c>
      <c r="B941" s="283">
        <v>2360</v>
      </c>
      <c r="C941" s="284" t="s">
        <v>383</v>
      </c>
      <c r="D941" s="285">
        <v>40000</v>
      </c>
    </row>
    <row r="942" spans="1:4" ht="15" customHeight="1">
      <c r="A942" s="282" t="s">
        <v>145</v>
      </c>
      <c r="B942" s="283">
        <v>2800</v>
      </c>
      <c r="C942" s="284" t="s">
        <v>367</v>
      </c>
      <c r="D942" s="285">
        <v>30000</v>
      </c>
    </row>
    <row r="943" spans="1:4" ht="15" customHeight="1">
      <c r="A943" s="282" t="s">
        <v>145</v>
      </c>
      <c r="B943" s="283">
        <v>4110</v>
      </c>
      <c r="C943" s="284" t="s">
        <v>345</v>
      </c>
      <c r="D943" s="285">
        <v>11000</v>
      </c>
    </row>
    <row r="944" spans="1:4" ht="15" customHeight="1">
      <c r="A944" s="282" t="s">
        <v>145</v>
      </c>
      <c r="B944" s="283">
        <v>4120</v>
      </c>
      <c r="C944" s="284" t="s">
        <v>346</v>
      </c>
      <c r="D944" s="285">
        <v>2000</v>
      </c>
    </row>
    <row r="945" spans="1:4" ht="15" customHeight="1">
      <c r="A945" s="282" t="s">
        <v>145</v>
      </c>
      <c r="B945" s="283">
        <v>4170</v>
      </c>
      <c r="C945" s="284" t="s">
        <v>347</v>
      </c>
      <c r="D945" s="285">
        <v>186400</v>
      </c>
    </row>
    <row r="946" spans="1:4" ht="15" customHeight="1">
      <c r="A946" s="282" t="s">
        <v>145</v>
      </c>
      <c r="B946" s="283">
        <v>4210</v>
      </c>
      <c r="C946" s="284" t="s">
        <v>349</v>
      </c>
      <c r="D946" s="285">
        <v>4000</v>
      </c>
    </row>
    <row r="947" spans="1:4" ht="15" customHeight="1">
      <c r="A947" s="282" t="s">
        <v>145</v>
      </c>
      <c r="B947" s="283">
        <v>4220</v>
      </c>
      <c r="C947" s="284" t="s">
        <v>350</v>
      </c>
      <c r="D947" s="285">
        <v>1000</v>
      </c>
    </row>
    <row r="948" spans="1:4" ht="15" customHeight="1">
      <c r="A948" s="282" t="s">
        <v>145</v>
      </c>
      <c r="B948" s="283">
        <v>4300</v>
      </c>
      <c r="C948" s="284" t="s">
        <v>353</v>
      </c>
      <c r="D948" s="285">
        <v>224600</v>
      </c>
    </row>
    <row r="949" spans="1:4" ht="15" customHeight="1">
      <c r="A949" s="282" t="s">
        <v>145</v>
      </c>
      <c r="B949" s="283">
        <v>4360</v>
      </c>
      <c r="C949" s="284" t="s">
        <v>354</v>
      </c>
      <c r="D949" s="285">
        <v>5000</v>
      </c>
    </row>
    <row r="950" spans="1:4" s="277" customFormat="1" ht="15" customHeight="1">
      <c r="A950" s="278">
        <v>85217</v>
      </c>
      <c r="B950" s="279" t="s">
        <v>145</v>
      </c>
      <c r="C950" s="280" t="s">
        <v>117</v>
      </c>
      <c r="D950" s="281">
        <f>SUM(D951:D972)</f>
        <v>2605777</v>
      </c>
    </row>
    <row r="951" spans="1:4" ht="15" customHeight="1">
      <c r="A951" s="282" t="s">
        <v>145</v>
      </c>
      <c r="B951" s="283">
        <v>3020</v>
      </c>
      <c r="C951" s="284" t="s">
        <v>371</v>
      </c>
      <c r="D951" s="285">
        <v>3300</v>
      </c>
    </row>
    <row r="952" spans="1:4" ht="15" customHeight="1">
      <c r="A952" s="282" t="s">
        <v>145</v>
      </c>
      <c r="B952" s="283">
        <v>4010</v>
      </c>
      <c r="C952" s="284" t="s">
        <v>343</v>
      </c>
      <c r="D952" s="285">
        <v>1609304</v>
      </c>
    </row>
    <row r="953" spans="1:4" ht="15" customHeight="1">
      <c r="A953" s="282" t="s">
        <v>145</v>
      </c>
      <c r="B953" s="283">
        <v>4040</v>
      </c>
      <c r="C953" s="284" t="s">
        <v>344</v>
      </c>
      <c r="D953" s="285">
        <v>160519</v>
      </c>
    </row>
    <row r="954" spans="1:4" ht="15" customHeight="1">
      <c r="A954" s="282" t="s">
        <v>145</v>
      </c>
      <c r="B954" s="283">
        <v>4110</v>
      </c>
      <c r="C954" s="284" t="s">
        <v>345</v>
      </c>
      <c r="D954" s="285">
        <v>297034</v>
      </c>
    </row>
    <row r="955" spans="1:4" ht="15" customHeight="1">
      <c r="A955" s="282" t="s">
        <v>145</v>
      </c>
      <c r="B955" s="283">
        <v>4120</v>
      </c>
      <c r="C955" s="284" t="s">
        <v>346</v>
      </c>
      <c r="D955" s="285">
        <v>42334</v>
      </c>
    </row>
    <row r="956" spans="1:4" ht="15" customHeight="1">
      <c r="A956" s="282" t="s">
        <v>145</v>
      </c>
      <c r="B956" s="283">
        <v>4140</v>
      </c>
      <c r="C956" s="284" t="s">
        <v>372</v>
      </c>
      <c r="D956" s="285">
        <v>58502</v>
      </c>
    </row>
    <row r="957" spans="1:4" ht="15" customHeight="1">
      <c r="A957" s="282" t="s">
        <v>145</v>
      </c>
      <c r="B957" s="283">
        <v>4170</v>
      </c>
      <c r="C957" s="284" t="s">
        <v>347</v>
      </c>
      <c r="D957" s="285">
        <v>5000</v>
      </c>
    </row>
    <row r="958" spans="1:4" ht="15" customHeight="1">
      <c r="A958" s="282" t="s">
        <v>145</v>
      </c>
      <c r="B958" s="283">
        <v>4210</v>
      </c>
      <c r="C958" s="284" t="s">
        <v>349</v>
      </c>
      <c r="D958" s="285">
        <v>45000</v>
      </c>
    </row>
    <row r="959" spans="1:4" ht="15" customHeight="1">
      <c r="A959" s="282" t="s">
        <v>145</v>
      </c>
      <c r="B959" s="283">
        <v>4220</v>
      </c>
      <c r="C959" s="284" t="s">
        <v>350</v>
      </c>
      <c r="D959" s="285">
        <v>1000</v>
      </c>
    </row>
    <row r="960" spans="1:4" ht="15" customHeight="1">
      <c r="A960" s="282" t="s">
        <v>145</v>
      </c>
      <c r="B960" s="283">
        <v>4260</v>
      </c>
      <c r="C960" s="284" t="s">
        <v>351</v>
      </c>
      <c r="D960" s="285">
        <v>56400</v>
      </c>
    </row>
    <row r="961" spans="1:4" ht="15" customHeight="1">
      <c r="A961" s="282" t="s">
        <v>145</v>
      </c>
      <c r="B961" s="283">
        <v>4270</v>
      </c>
      <c r="C961" s="284" t="s">
        <v>352</v>
      </c>
      <c r="D961" s="285">
        <v>24500</v>
      </c>
    </row>
    <row r="962" spans="1:4" ht="15" customHeight="1">
      <c r="A962" s="282" t="s">
        <v>145</v>
      </c>
      <c r="B962" s="283">
        <v>4280</v>
      </c>
      <c r="C962" s="284" t="s">
        <v>373</v>
      </c>
      <c r="D962" s="285">
        <v>3710</v>
      </c>
    </row>
    <row r="963" spans="1:4" ht="15" customHeight="1">
      <c r="A963" s="282" t="s">
        <v>145</v>
      </c>
      <c r="B963" s="283">
        <v>4300</v>
      </c>
      <c r="C963" s="284" t="s">
        <v>353</v>
      </c>
      <c r="D963" s="285">
        <v>144460</v>
      </c>
    </row>
    <row r="964" spans="1:4" ht="15" customHeight="1">
      <c r="A964" s="282" t="s">
        <v>145</v>
      </c>
      <c r="B964" s="283">
        <v>4360</v>
      </c>
      <c r="C964" s="284" t="s">
        <v>354</v>
      </c>
      <c r="D964" s="285">
        <v>18300</v>
      </c>
    </row>
    <row r="965" spans="1:4" ht="15" customHeight="1">
      <c r="A965" s="282" t="s">
        <v>145</v>
      </c>
      <c r="B965" s="283">
        <v>4410</v>
      </c>
      <c r="C965" s="284" t="s">
        <v>357</v>
      </c>
      <c r="D965" s="285">
        <v>8000</v>
      </c>
    </row>
    <row r="966" spans="1:4" ht="15" customHeight="1">
      <c r="A966" s="282" t="s">
        <v>145</v>
      </c>
      <c r="B966" s="283">
        <v>4430</v>
      </c>
      <c r="C966" s="284" t="s">
        <v>359</v>
      </c>
      <c r="D966" s="285">
        <v>3100</v>
      </c>
    </row>
    <row r="967" spans="1:4" ht="15" customHeight="1">
      <c r="A967" s="282" t="s">
        <v>145</v>
      </c>
      <c r="B967" s="283">
        <v>4440</v>
      </c>
      <c r="C967" s="284" t="s">
        <v>375</v>
      </c>
      <c r="D967" s="285">
        <v>62752</v>
      </c>
    </row>
    <row r="968" spans="1:4" ht="15" customHeight="1">
      <c r="A968" s="282" t="s">
        <v>145</v>
      </c>
      <c r="B968" s="283">
        <v>4480</v>
      </c>
      <c r="C968" s="284" t="s">
        <v>376</v>
      </c>
      <c r="D968" s="285">
        <v>8500</v>
      </c>
    </row>
    <row r="969" spans="1:4" ht="15" customHeight="1">
      <c r="A969" s="282" t="s">
        <v>145</v>
      </c>
      <c r="B969" s="283">
        <v>4510</v>
      </c>
      <c r="C969" s="284" t="s">
        <v>378</v>
      </c>
      <c r="D969" s="285">
        <v>300</v>
      </c>
    </row>
    <row r="970" spans="1:4" ht="15" customHeight="1">
      <c r="A970" s="282" t="s">
        <v>145</v>
      </c>
      <c r="B970" s="283">
        <v>4520</v>
      </c>
      <c r="C970" s="284" t="s">
        <v>379</v>
      </c>
      <c r="D970" s="285">
        <v>25762</v>
      </c>
    </row>
    <row r="971" spans="1:4" ht="15" customHeight="1">
      <c r="A971" s="282" t="s">
        <v>145</v>
      </c>
      <c r="B971" s="283">
        <v>4700</v>
      </c>
      <c r="C971" s="284" t="s">
        <v>360</v>
      </c>
      <c r="D971" s="285">
        <v>5000</v>
      </c>
    </row>
    <row r="972" spans="1:4" ht="15" customHeight="1">
      <c r="A972" s="282" t="s">
        <v>145</v>
      </c>
      <c r="B972" s="283">
        <v>6050</v>
      </c>
      <c r="C972" s="284" t="s">
        <v>370</v>
      </c>
      <c r="D972" s="285">
        <v>23000</v>
      </c>
    </row>
    <row r="973" spans="1:4" s="277" customFormat="1" ht="15" customHeight="1">
      <c r="A973" s="278">
        <v>85228</v>
      </c>
      <c r="B973" s="279" t="s">
        <v>145</v>
      </c>
      <c r="C973" s="280" t="s">
        <v>318</v>
      </c>
      <c r="D973" s="281">
        <f>SUM(D974:D976)</f>
        <v>242000</v>
      </c>
    </row>
    <row r="974" spans="1:4" ht="40.5" customHeight="1">
      <c r="A974" s="282" t="s">
        <v>145</v>
      </c>
      <c r="B974" s="283">
        <v>2009</v>
      </c>
      <c r="C974" s="284" t="s">
        <v>341</v>
      </c>
      <c r="D974" s="285">
        <v>44000</v>
      </c>
    </row>
    <row r="975" spans="1:4" ht="40.5" customHeight="1">
      <c r="A975" s="282" t="s">
        <v>145</v>
      </c>
      <c r="B975" s="283">
        <v>2059</v>
      </c>
      <c r="C975" s="284" t="s">
        <v>176</v>
      </c>
      <c r="D975" s="285">
        <v>195000</v>
      </c>
    </row>
    <row r="976" spans="1:4" ht="41.25" customHeight="1">
      <c r="A976" s="282" t="s">
        <v>145</v>
      </c>
      <c r="B976" s="283">
        <v>6209</v>
      </c>
      <c r="C976" s="284" t="s">
        <v>384</v>
      </c>
      <c r="D976" s="285">
        <v>3000</v>
      </c>
    </row>
    <row r="977" spans="1:4" s="277" customFormat="1" ht="15" customHeight="1">
      <c r="A977" s="278">
        <v>85295</v>
      </c>
      <c r="B977" s="279" t="s">
        <v>145</v>
      </c>
      <c r="C977" s="280" t="s">
        <v>130</v>
      </c>
      <c r="D977" s="281">
        <f>SUM(D978:D1021)</f>
        <v>24801013</v>
      </c>
    </row>
    <row r="978" spans="1:4" ht="40.5" customHeight="1">
      <c r="A978" s="282" t="s">
        <v>145</v>
      </c>
      <c r="B978" s="283">
        <v>2007</v>
      </c>
      <c r="C978" s="284" t="s">
        <v>341</v>
      </c>
      <c r="D978" s="285">
        <v>3615850</v>
      </c>
    </row>
    <row r="979" spans="1:4" ht="41.25" customHeight="1">
      <c r="A979" s="286" t="s">
        <v>145</v>
      </c>
      <c r="B979" s="287">
        <v>2009</v>
      </c>
      <c r="C979" s="288" t="s">
        <v>341</v>
      </c>
      <c r="D979" s="289">
        <v>6098337</v>
      </c>
    </row>
    <row r="980" spans="1:4" ht="39.75" customHeight="1">
      <c r="A980" s="290" t="s">
        <v>145</v>
      </c>
      <c r="B980" s="291">
        <v>2057</v>
      </c>
      <c r="C980" s="292" t="s">
        <v>176</v>
      </c>
      <c r="D980" s="293">
        <v>7433097</v>
      </c>
    </row>
    <row r="981" spans="1:4" ht="39.75" customHeight="1">
      <c r="A981" s="282" t="s">
        <v>145</v>
      </c>
      <c r="B981" s="283">
        <v>2059</v>
      </c>
      <c r="C981" s="284" t="s">
        <v>176</v>
      </c>
      <c r="D981" s="285">
        <v>2064263</v>
      </c>
    </row>
    <row r="982" spans="1:4" ht="39.75" customHeight="1">
      <c r="A982" s="282" t="s">
        <v>145</v>
      </c>
      <c r="B982" s="283">
        <v>2360</v>
      </c>
      <c r="C982" s="284" t="s">
        <v>383</v>
      </c>
      <c r="D982" s="285">
        <v>800000</v>
      </c>
    </row>
    <row r="983" spans="1:4" ht="15" customHeight="1">
      <c r="A983" s="282" t="s">
        <v>145</v>
      </c>
      <c r="B983" s="283">
        <v>3037</v>
      </c>
      <c r="C983" s="284" t="s">
        <v>386</v>
      </c>
      <c r="D983" s="285">
        <v>1700</v>
      </c>
    </row>
    <row r="984" spans="1:4" ht="15" customHeight="1">
      <c r="A984" s="282" t="s">
        <v>145</v>
      </c>
      <c r="B984" s="283">
        <v>3039</v>
      </c>
      <c r="C984" s="284" t="s">
        <v>386</v>
      </c>
      <c r="D984" s="285">
        <v>300</v>
      </c>
    </row>
    <row r="985" spans="1:4" ht="15" customHeight="1">
      <c r="A985" s="282" t="s">
        <v>145</v>
      </c>
      <c r="B985" s="283">
        <v>3040</v>
      </c>
      <c r="C985" s="284" t="s">
        <v>387</v>
      </c>
      <c r="D985" s="285">
        <v>45000</v>
      </c>
    </row>
    <row r="986" spans="1:4" ht="15" customHeight="1">
      <c r="A986" s="282" t="s">
        <v>145</v>
      </c>
      <c r="B986" s="283">
        <v>4017</v>
      </c>
      <c r="C986" s="284" t="s">
        <v>343</v>
      </c>
      <c r="D986" s="285">
        <v>1503854</v>
      </c>
    </row>
    <row r="987" spans="1:4" ht="15" customHeight="1">
      <c r="A987" s="282" t="s">
        <v>145</v>
      </c>
      <c r="B987" s="283">
        <v>4019</v>
      </c>
      <c r="C987" s="284" t="s">
        <v>343</v>
      </c>
      <c r="D987" s="285">
        <v>187827</v>
      </c>
    </row>
    <row r="988" spans="1:4" ht="15" customHeight="1">
      <c r="A988" s="282" t="s">
        <v>145</v>
      </c>
      <c r="B988" s="283">
        <v>4047</v>
      </c>
      <c r="C988" s="284" t="s">
        <v>344</v>
      </c>
      <c r="D988" s="285">
        <v>90024</v>
      </c>
    </row>
    <row r="989" spans="1:4" ht="15" customHeight="1">
      <c r="A989" s="282" t="s">
        <v>145</v>
      </c>
      <c r="B989" s="283">
        <v>4049</v>
      </c>
      <c r="C989" s="284" t="s">
        <v>344</v>
      </c>
      <c r="D989" s="285">
        <v>11873</v>
      </c>
    </row>
    <row r="990" spans="1:4" ht="15" customHeight="1">
      <c r="A990" s="282" t="s">
        <v>145</v>
      </c>
      <c r="B990" s="283">
        <v>4117</v>
      </c>
      <c r="C990" s="284" t="s">
        <v>345</v>
      </c>
      <c r="D990" s="285">
        <v>269884</v>
      </c>
    </row>
    <row r="991" spans="1:4" ht="15" customHeight="1">
      <c r="A991" s="282" t="s">
        <v>145</v>
      </c>
      <c r="B991" s="283">
        <v>4119</v>
      </c>
      <c r="C991" s="284" t="s">
        <v>345</v>
      </c>
      <c r="D991" s="285">
        <v>33998</v>
      </c>
    </row>
    <row r="992" spans="1:4" ht="15" customHeight="1">
      <c r="A992" s="282" t="s">
        <v>145</v>
      </c>
      <c r="B992" s="283">
        <v>4120</v>
      </c>
      <c r="C992" s="284" t="s">
        <v>346</v>
      </c>
      <c r="D992" s="285">
        <v>900</v>
      </c>
    </row>
    <row r="993" spans="1:4" ht="15" customHeight="1">
      <c r="A993" s="282" t="s">
        <v>145</v>
      </c>
      <c r="B993" s="283">
        <v>4127</v>
      </c>
      <c r="C993" s="284" t="s">
        <v>346</v>
      </c>
      <c r="D993" s="285">
        <v>38467</v>
      </c>
    </row>
    <row r="994" spans="1:4" ht="15" customHeight="1">
      <c r="A994" s="282" t="s">
        <v>145</v>
      </c>
      <c r="B994" s="283">
        <v>4129</v>
      </c>
      <c r="C994" s="284" t="s">
        <v>346</v>
      </c>
      <c r="D994" s="285">
        <v>4846</v>
      </c>
    </row>
    <row r="995" spans="1:4" ht="15" customHeight="1">
      <c r="A995" s="282" t="s">
        <v>145</v>
      </c>
      <c r="B995" s="283">
        <v>4170</v>
      </c>
      <c r="C995" s="284" t="s">
        <v>347</v>
      </c>
      <c r="D995" s="285">
        <v>2000</v>
      </c>
    </row>
    <row r="996" spans="1:4" ht="15" customHeight="1">
      <c r="A996" s="282" t="s">
        <v>145</v>
      </c>
      <c r="B996" s="283">
        <v>4177</v>
      </c>
      <c r="C996" s="284" t="s">
        <v>347</v>
      </c>
      <c r="D996" s="285">
        <v>79572</v>
      </c>
    </row>
    <row r="997" spans="1:4" ht="15" customHeight="1">
      <c r="A997" s="282" t="s">
        <v>145</v>
      </c>
      <c r="B997" s="283">
        <v>4179</v>
      </c>
      <c r="C997" s="284" t="s">
        <v>347</v>
      </c>
      <c r="D997" s="285">
        <v>11929</v>
      </c>
    </row>
    <row r="998" spans="1:4" ht="15" customHeight="1">
      <c r="A998" s="282" t="s">
        <v>145</v>
      </c>
      <c r="B998" s="283">
        <v>4190</v>
      </c>
      <c r="C998" s="284" t="s">
        <v>348</v>
      </c>
      <c r="D998" s="285">
        <v>4000</v>
      </c>
    </row>
    <row r="999" spans="1:4" ht="15" customHeight="1">
      <c r="A999" s="282" t="s">
        <v>145</v>
      </c>
      <c r="B999" s="283">
        <v>4210</v>
      </c>
      <c r="C999" s="284" t="s">
        <v>349</v>
      </c>
      <c r="D999" s="285">
        <v>2500</v>
      </c>
    </row>
    <row r="1000" spans="1:4" ht="15" customHeight="1">
      <c r="A1000" s="282" t="s">
        <v>145</v>
      </c>
      <c r="B1000" s="283">
        <v>4217</v>
      </c>
      <c r="C1000" s="284" t="s">
        <v>349</v>
      </c>
      <c r="D1000" s="285">
        <v>94871</v>
      </c>
    </row>
    <row r="1001" spans="1:4" ht="15" customHeight="1">
      <c r="A1001" s="282" t="s">
        <v>145</v>
      </c>
      <c r="B1001" s="283">
        <v>4219</v>
      </c>
      <c r="C1001" s="284" t="s">
        <v>349</v>
      </c>
      <c r="D1001" s="285">
        <v>10729</v>
      </c>
    </row>
    <row r="1002" spans="1:4" ht="15" customHeight="1">
      <c r="A1002" s="282" t="s">
        <v>145</v>
      </c>
      <c r="B1002" s="283">
        <v>4220</v>
      </c>
      <c r="C1002" s="284" t="s">
        <v>350</v>
      </c>
      <c r="D1002" s="285">
        <v>4100</v>
      </c>
    </row>
    <row r="1003" spans="1:4" ht="15" customHeight="1">
      <c r="A1003" s="282" t="s">
        <v>145</v>
      </c>
      <c r="B1003" s="283">
        <v>4227</v>
      </c>
      <c r="C1003" s="284" t="s">
        <v>350</v>
      </c>
      <c r="D1003" s="285">
        <v>5500</v>
      </c>
    </row>
    <row r="1004" spans="1:4" ht="15" customHeight="1">
      <c r="A1004" s="282" t="s">
        <v>145</v>
      </c>
      <c r="B1004" s="283">
        <v>4229</v>
      </c>
      <c r="C1004" s="284" t="s">
        <v>350</v>
      </c>
      <c r="D1004" s="285">
        <v>600</v>
      </c>
    </row>
    <row r="1005" spans="1:4" ht="15" customHeight="1">
      <c r="A1005" s="282" t="s">
        <v>145</v>
      </c>
      <c r="B1005" s="283">
        <v>4267</v>
      </c>
      <c r="C1005" s="284" t="s">
        <v>351</v>
      </c>
      <c r="D1005" s="285">
        <v>5107</v>
      </c>
    </row>
    <row r="1006" spans="1:4" ht="15" customHeight="1">
      <c r="A1006" s="282" t="s">
        <v>145</v>
      </c>
      <c r="B1006" s="283">
        <v>4269</v>
      </c>
      <c r="C1006" s="284" t="s">
        <v>351</v>
      </c>
      <c r="D1006" s="285">
        <v>593</v>
      </c>
    </row>
    <row r="1007" spans="1:4" ht="15" customHeight="1">
      <c r="A1007" s="282" t="s">
        <v>145</v>
      </c>
      <c r="B1007" s="283">
        <v>4300</v>
      </c>
      <c r="C1007" s="284" t="s">
        <v>353</v>
      </c>
      <c r="D1007" s="285">
        <v>121500</v>
      </c>
    </row>
    <row r="1008" spans="1:4" ht="15" customHeight="1">
      <c r="A1008" s="282" t="s">
        <v>145</v>
      </c>
      <c r="B1008" s="283">
        <v>4307</v>
      </c>
      <c r="C1008" s="284" t="s">
        <v>353</v>
      </c>
      <c r="D1008" s="285">
        <v>1739011</v>
      </c>
    </row>
    <row r="1009" spans="1:4" ht="15" customHeight="1">
      <c r="A1009" s="282" t="s">
        <v>145</v>
      </c>
      <c r="B1009" s="283">
        <v>4309</v>
      </c>
      <c r="C1009" s="284" t="s">
        <v>353</v>
      </c>
      <c r="D1009" s="285">
        <v>200353</v>
      </c>
    </row>
    <row r="1010" spans="1:4" ht="14.25" customHeight="1">
      <c r="A1010" s="282" t="s">
        <v>145</v>
      </c>
      <c r="B1010" s="283">
        <v>4367</v>
      </c>
      <c r="C1010" s="284" t="s">
        <v>354</v>
      </c>
      <c r="D1010" s="285">
        <v>7243</v>
      </c>
    </row>
    <row r="1011" spans="1:4" ht="14.25" customHeight="1">
      <c r="A1011" s="282" t="s">
        <v>145</v>
      </c>
      <c r="B1011" s="283">
        <v>4369</v>
      </c>
      <c r="C1011" s="284" t="s">
        <v>354</v>
      </c>
      <c r="D1011" s="285">
        <v>857</v>
      </c>
    </row>
    <row r="1012" spans="1:4" ht="14.25" customHeight="1">
      <c r="A1012" s="282" t="s">
        <v>145</v>
      </c>
      <c r="B1012" s="283">
        <v>4397</v>
      </c>
      <c r="C1012" s="284" t="s">
        <v>374</v>
      </c>
      <c r="D1012" s="285">
        <v>25500</v>
      </c>
    </row>
    <row r="1013" spans="1:4" ht="14.25" customHeight="1">
      <c r="A1013" s="282" t="s">
        <v>145</v>
      </c>
      <c r="B1013" s="283">
        <v>4399</v>
      </c>
      <c r="C1013" s="284" t="s">
        <v>374</v>
      </c>
      <c r="D1013" s="285">
        <v>4500</v>
      </c>
    </row>
    <row r="1014" spans="1:4" ht="14.25" customHeight="1">
      <c r="A1014" s="282" t="s">
        <v>145</v>
      </c>
      <c r="B1014" s="283">
        <v>4417</v>
      </c>
      <c r="C1014" s="284" t="s">
        <v>357</v>
      </c>
      <c r="D1014" s="285">
        <v>57509</v>
      </c>
    </row>
    <row r="1015" spans="1:4" ht="14.25" customHeight="1">
      <c r="A1015" s="282" t="s">
        <v>145</v>
      </c>
      <c r="B1015" s="283">
        <v>4419</v>
      </c>
      <c r="C1015" s="284" t="s">
        <v>357</v>
      </c>
      <c r="D1015" s="285">
        <v>6581</v>
      </c>
    </row>
    <row r="1016" spans="1:4" ht="14.25" customHeight="1">
      <c r="A1016" s="282" t="s">
        <v>145</v>
      </c>
      <c r="B1016" s="283">
        <v>4437</v>
      </c>
      <c r="C1016" s="284" t="s">
        <v>359</v>
      </c>
      <c r="D1016" s="285">
        <v>4382</v>
      </c>
    </row>
    <row r="1017" spans="1:4" ht="14.25" customHeight="1">
      <c r="A1017" s="282" t="s">
        <v>145</v>
      </c>
      <c r="B1017" s="283">
        <v>4439</v>
      </c>
      <c r="C1017" s="284" t="s">
        <v>359</v>
      </c>
      <c r="D1017" s="285">
        <v>516</v>
      </c>
    </row>
    <row r="1018" spans="1:4" ht="14.25" customHeight="1">
      <c r="A1018" s="282" t="s">
        <v>145</v>
      </c>
      <c r="B1018" s="283">
        <v>4447</v>
      </c>
      <c r="C1018" s="284" t="s">
        <v>375</v>
      </c>
      <c r="D1018" s="285">
        <v>14578</v>
      </c>
    </row>
    <row r="1019" spans="1:4" ht="14.25" customHeight="1">
      <c r="A1019" s="282" t="s">
        <v>145</v>
      </c>
      <c r="B1019" s="283">
        <v>4449</v>
      </c>
      <c r="C1019" s="284" t="s">
        <v>375</v>
      </c>
      <c r="D1019" s="285">
        <v>1762</v>
      </c>
    </row>
    <row r="1020" spans="1:4" ht="40.5" customHeight="1">
      <c r="A1020" s="282" t="s">
        <v>145</v>
      </c>
      <c r="B1020" s="283">
        <v>6209</v>
      </c>
      <c r="C1020" s="284" t="s">
        <v>384</v>
      </c>
      <c r="D1020" s="285">
        <v>150000</v>
      </c>
    </row>
    <row r="1021" spans="1:4" ht="39" customHeight="1">
      <c r="A1021" s="282" t="s">
        <v>145</v>
      </c>
      <c r="B1021" s="283">
        <v>6259</v>
      </c>
      <c r="C1021" s="284" t="s">
        <v>148</v>
      </c>
      <c r="D1021" s="285">
        <v>45000</v>
      </c>
    </row>
    <row r="1022" spans="1:4" s="277" customFormat="1" ht="12.75" customHeight="1">
      <c r="A1022" s="273" t="s">
        <v>99</v>
      </c>
      <c r="B1022" s="274" t="s">
        <v>145</v>
      </c>
      <c r="C1022" s="275" t="s">
        <v>118</v>
      </c>
      <c r="D1022" s="276">
        <f>D1023+D1027+D1039+D1058+D1121</f>
        <v>22471075</v>
      </c>
    </row>
    <row r="1023" spans="1:4" s="277" customFormat="1" ht="15" customHeight="1">
      <c r="A1023" s="294">
        <v>85311</v>
      </c>
      <c r="B1023" s="295" t="s">
        <v>145</v>
      </c>
      <c r="C1023" s="296" t="s">
        <v>319</v>
      </c>
      <c r="D1023" s="297">
        <f>SUM(D1024:D1026)</f>
        <v>444000</v>
      </c>
    </row>
    <row r="1024" spans="1:4" ht="27" customHeight="1">
      <c r="A1024" s="282" t="s">
        <v>145</v>
      </c>
      <c r="B1024" s="283">
        <v>2310</v>
      </c>
      <c r="C1024" s="284" t="s">
        <v>364</v>
      </c>
      <c r="D1024" s="285">
        <v>150000</v>
      </c>
    </row>
    <row r="1025" spans="1:4" ht="27" customHeight="1">
      <c r="A1025" s="282" t="s">
        <v>145</v>
      </c>
      <c r="B1025" s="283">
        <v>2320</v>
      </c>
      <c r="C1025" s="284" t="s">
        <v>396</v>
      </c>
      <c r="D1025" s="285">
        <v>225556</v>
      </c>
    </row>
    <row r="1026" spans="1:4" ht="25.5" customHeight="1">
      <c r="A1026" s="282" t="s">
        <v>145</v>
      </c>
      <c r="B1026" s="283">
        <v>2820</v>
      </c>
      <c r="C1026" s="284" t="s">
        <v>397</v>
      </c>
      <c r="D1026" s="285">
        <v>68444</v>
      </c>
    </row>
    <row r="1027" spans="1:4" s="277" customFormat="1" ht="15" customHeight="1">
      <c r="A1027" s="278">
        <v>85324</v>
      </c>
      <c r="B1027" s="279" t="s">
        <v>145</v>
      </c>
      <c r="C1027" s="280" t="s">
        <v>119</v>
      </c>
      <c r="D1027" s="281">
        <f>SUM(D1028:D1038)</f>
        <v>2155251</v>
      </c>
    </row>
    <row r="1028" spans="1:4" ht="15" customHeight="1">
      <c r="A1028" s="286" t="s">
        <v>145</v>
      </c>
      <c r="B1028" s="287">
        <v>4010</v>
      </c>
      <c r="C1028" s="288" t="s">
        <v>343</v>
      </c>
      <c r="D1028" s="289">
        <v>170568</v>
      </c>
    </row>
    <row r="1029" spans="1:4" ht="15" customHeight="1">
      <c r="A1029" s="290" t="s">
        <v>145</v>
      </c>
      <c r="B1029" s="291">
        <v>4110</v>
      </c>
      <c r="C1029" s="292" t="s">
        <v>345</v>
      </c>
      <c r="D1029" s="293">
        <v>29321</v>
      </c>
    </row>
    <row r="1030" spans="1:4" ht="15" customHeight="1">
      <c r="A1030" s="282" t="s">
        <v>145</v>
      </c>
      <c r="B1030" s="283">
        <v>4120</v>
      </c>
      <c r="C1030" s="284" t="s">
        <v>346</v>
      </c>
      <c r="D1030" s="285">
        <v>4179</v>
      </c>
    </row>
    <row r="1031" spans="1:4" ht="15" customHeight="1">
      <c r="A1031" s="282" t="s">
        <v>145</v>
      </c>
      <c r="B1031" s="283">
        <v>4210</v>
      </c>
      <c r="C1031" s="284" t="s">
        <v>349</v>
      </c>
      <c r="D1031" s="285">
        <v>25000</v>
      </c>
    </row>
    <row r="1032" spans="1:4" ht="15" customHeight="1">
      <c r="A1032" s="282" t="s">
        <v>145</v>
      </c>
      <c r="B1032" s="283">
        <v>4220</v>
      </c>
      <c r="C1032" s="284" t="s">
        <v>350</v>
      </c>
      <c r="D1032" s="285">
        <v>2000</v>
      </c>
    </row>
    <row r="1033" spans="1:4" ht="15" customHeight="1">
      <c r="A1033" s="282" t="s">
        <v>145</v>
      </c>
      <c r="B1033" s="283">
        <v>4270</v>
      </c>
      <c r="C1033" s="284" t="s">
        <v>352</v>
      </c>
      <c r="D1033" s="285">
        <v>3000</v>
      </c>
    </row>
    <row r="1034" spans="1:4" ht="15" customHeight="1">
      <c r="A1034" s="282" t="s">
        <v>145</v>
      </c>
      <c r="B1034" s="283">
        <v>4300</v>
      </c>
      <c r="C1034" s="284" t="s">
        <v>353</v>
      </c>
      <c r="D1034" s="285">
        <v>5000</v>
      </c>
    </row>
    <row r="1035" spans="1:4" ht="15" customHeight="1">
      <c r="A1035" s="282" t="s">
        <v>145</v>
      </c>
      <c r="B1035" s="283">
        <v>4410</v>
      </c>
      <c r="C1035" s="284" t="s">
        <v>357</v>
      </c>
      <c r="D1035" s="285">
        <v>3000</v>
      </c>
    </row>
    <row r="1036" spans="1:4" ht="39.75" customHeight="1">
      <c r="A1036" s="282" t="s">
        <v>145</v>
      </c>
      <c r="B1036" s="283">
        <v>4560</v>
      </c>
      <c r="C1036" s="284" t="s">
        <v>398</v>
      </c>
      <c r="D1036" s="285">
        <v>908183</v>
      </c>
    </row>
    <row r="1037" spans="1:4" ht="16.5" customHeight="1">
      <c r="A1037" s="282" t="s">
        <v>145</v>
      </c>
      <c r="B1037" s="283">
        <v>4700</v>
      </c>
      <c r="C1037" s="284" t="s">
        <v>360</v>
      </c>
      <c r="D1037" s="285">
        <v>5000</v>
      </c>
    </row>
    <row r="1038" spans="1:4" ht="40.5" customHeight="1">
      <c r="A1038" s="282" t="s">
        <v>145</v>
      </c>
      <c r="B1038" s="283">
        <v>6660</v>
      </c>
      <c r="C1038" s="284" t="s">
        <v>361</v>
      </c>
      <c r="D1038" s="285">
        <v>1000000</v>
      </c>
    </row>
    <row r="1039" spans="1:4" s="277" customFormat="1" ht="15" customHeight="1">
      <c r="A1039" s="278">
        <v>85325</v>
      </c>
      <c r="B1039" s="279" t="s">
        <v>145</v>
      </c>
      <c r="C1039" s="280" t="s">
        <v>59</v>
      </c>
      <c r="D1039" s="281">
        <f>SUM(D1040:D1057)</f>
        <v>1230000</v>
      </c>
    </row>
    <row r="1040" spans="1:4" ht="15" customHeight="1">
      <c r="A1040" s="282" t="s">
        <v>145</v>
      </c>
      <c r="B1040" s="283">
        <v>3020</v>
      </c>
      <c r="C1040" s="284" t="s">
        <v>371</v>
      </c>
      <c r="D1040" s="285">
        <v>2000</v>
      </c>
    </row>
    <row r="1041" spans="1:4" ht="15" customHeight="1">
      <c r="A1041" s="282" t="s">
        <v>145</v>
      </c>
      <c r="B1041" s="283">
        <v>4010</v>
      </c>
      <c r="C1041" s="284" t="s">
        <v>343</v>
      </c>
      <c r="D1041" s="285">
        <v>733000</v>
      </c>
    </row>
    <row r="1042" spans="1:4" ht="15" customHeight="1">
      <c r="A1042" s="282" t="s">
        <v>145</v>
      </c>
      <c r="B1042" s="283">
        <v>4040</v>
      </c>
      <c r="C1042" s="284" t="s">
        <v>344</v>
      </c>
      <c r="D1042" s="285">
        <v>65000</v>
      </c>
    </row>
    <row r="1043" spans="1:4" ht="15" customHeight="1">
      <c r="A1043" s="282" t="s">
        <v>145</v>
      </c>
      <c r="B1043" s="283">
        <v>4110</v>
      </c>
      <c r="C1043" s="284" t="s">
        <v>345</v>
      </c>
      <c r="D1043" s="285">
        <v>137000</v>
      </c>
    </row>
    <row r="1044" spans="1:4" ht="15" customHeight="1">
      <c r="A1044" s="282" t="s">
        <v>145</v>
      </c>
      <c r="B1044" s="283">
        <v>4120</v>
      </c>
      <c r="C1044" s="284" t="s">
        <v>346</v>
      </c>
      <c r="D1044" s="285">
        <v>20000</v>
      </c>
    </row>
    <row r="1045" spans="1:4" ht="15" customHeight="1">
      <c r="A1045" s="282" t="s">
        <v>145</v>
      </c>
      <c r="B1045" s="283">
        <v>4170</v>
      </c>
      <c r="C1045" s="284" t="s">
        <v>347</v>
      </c>
      <c r="D1045" s="285">
        <v>3000</v>
      </c>
    </row>
    <row r="1046" spans="1:4" ht="15" customHeight="1">
      <c r="A1046" s="282" t="s">
        <v>145</v>
      </c>
      <c r="B1046" s="283">
        <v>4210</v>
      </c>
      <c r="C1046" s="284" t="s">
        <v>349</v>
      </c>
      <c r="D1046" s="285">
        <v>35000</v>
      </c>
    </row>
    <row r="1047" spans="1:4" ht="15" customHeight="1">
      <c r="A1047" s="282" t="s">
        <v>145</v>
      </c>
      <c r="B1047" s="283">
        <v>4260</v>
      </c>
      <c r="C1047" s="284" t="s">
        <v>351</v>
      </c>
      <c r="D1047" s="285">
        <v>24000</v>
      </c>
    </row>
    <row r="1048" spans="1:4" ht="15" customHeight="1">
      <c r="A1048" s="282" t="s">
        <v>145</v>
      </c>
      <c r="B1048" s="283">
        <v>4270</v>
      </c>
      <c r="C1048" s="284" t="s">
        <v>352</v>
      </c>
      <c r="D1048" s="285">
        <v>7000</v>
      </c>
    </row>
    <row r="1049" spans="1:4" ht="15" customHeight="1">
      <c r="A1049" s="282" t="s">
        <v>145</v>
      </c>
      <c r="B1049" s="283">
        <v>4280</v>
      </c>
      <c r="C1049" s="284" t="s">
        <v>373</v>
      </c>
      <c r="D1049" s="285">
        <v>1000</v>
      </c>
    </row>
    <row r="1050" spans="1:4" ht="15" customHeight="1">
      <c r="A1050" s="282" t="s">
        <v>145</v>
      </c>
      <c r="B1050" s="283">
        <v>4300</v>
      </c>
      <c r="C1050" s="284" t="s">
        <v>353</v>
      </c>
      <c r="D1050" s="285">
        <v>71000</v>
      </c>
    </row>
    <row r="1051" spans="1:4" ht="15" customHeight="1">
      <c r="A1051" s="282" t="s">
        <v>145</v>
      </c>
      <c r="B1051" s="283">
        <v>4360</v>
      </c>
      <c r="C1051" s="284" t="s">
        <v>354</v>
      </c>
      <c r="D1051" s="285">
        <v>16000</v>
      </c>
    </row>
    <row r="1052" spans="1:4" ht="15" customHeight="1">
      <c r="A1052" s="282" t="s">
        <v>145</v>
      </c>
      <c r="B1052" s="283">
        <v>4400</v>
      </c>
      <c r="C1052" s="284" t="s">
        <v>356</v>
      </c>
      <c r="D1052" s="285">
        <v>76000</v>
      </c>
    </row>
    <row r="1053" spans="1:4" ht="15" customHeight="1">
      <c r="A1053" s="282" t="s">
        <v>145</v>
      </c>
      <c r="B1053" s="283">
        <v>4410</v>
      </c>
      <c r="C1053" s="284" t="s">
        <v>357</v>
      </c>
      <c r="D1053" s="285">
        <v>4000</v>
      </c>
    </row>
    <row r="1054" spans="1:4" ht="15" customHeight="1">
      <c r="A1054" s="282" t="s">
        <v>145</v>
      </c>
      <c r="B1054" s="283">
        <v>4430</v>
      </c>
      <c r="C1054" s="284" t="s">
        <v>359</v>
      </c>
      <c r="D1054" s="285">
        <v>2000</v>
      </c>
    </row>
    <row r="1055" spans="1:4" ht="15" customHeight="1">
      <c r="A1055" s="282" t="s">
        <v>145</v>
      </c>
      <c r="B1055" s="283">
        <v>4440</v>
      </c>
      <c r="C1055" s="284" t="s">
        <v>375</v>
      </c>
      <c r="D1055" s="285">
        <v>21000</v>
      </c>
    </row>
    <row r="1056" spans="1:4" ht="15" customHeight="1">
      <c r="A1056" s="282" t="s">
        <v>145</v>
      </c>
      <c r="B1056" s="283">
        <v>4480</v>
      </c>
      <c r="C1056" s="284" t="s">
        <v>376</v>
      </c>
      <c r="D1056" s="285">
        <v>4000</v>
      </c>
    </row>
    <row r="1057" spans="1:4" ht="15" customHeight="1">
      <c r="A1057" s="282" t="s">
        <v>145</v>
      </c>
      <c r="B1057" s="283">
        <v>4700</v>
      </c>
      <c r="C1057" s="284" t="s">
        <v>360</v>
      </c>
      <c r="D1057" s="285">
        <v>9000</v>
      </c>
    </row>
    <row r="1058" spans="1:4" s="277" customFormat="1" ht="15" customHeight="1">
      <c r="A1058" s="278">
        <v>85332</v>
      </c>
      <c r="B1058" s="279" t="s">
        <v>145</v>
      </c>
      <c r="C1058" s="280" t="s">
        <v>120</v>
      </c>
      <c r="D1058" s="281">
        <f>SUM(D1059:D1120)</f>
        <v>15847096</v>
      </c>
    </row>
    <row r="1059" spans="1:4" ht="39.75" customHeight="1">
      <c r="A1059" s="282" t="s">
        <v>145</v>
      </c>
      <c r="B1059" s="283">
        <v>2009</v>
      </c>
      <c r="C1059" s="284" t="s">
        <v>341</v>
      </c>
      <c r="D1059" s="285">
        <v>1876000</v>
      </c>
    </row>
    <row r="1060" spans="1:4" ht="15" customHeight="1">
      <c r="A1060" s="282" t="s">
        <v>145</v>
      </c>
      <c r="B1060" s="283">
        <v>3020</v>
      </c>
      <c r="C1060" s="284" t="s">
        <v>371</v>
      </c>
      <c r="D1060" s="285">
        <v>8000</v>
      </c>
    </row>
    <row r="1061" spans="1:4" ht="15" customHeight="1">
      <c r="A1061" s="282" t="s">
        <v>145</v>
      </c>
      <c r="B1061" s="283">
        <v>3028</v>
      </c>
      <c r="C1061" s="284" t="s">
        <v>371</v>
      </c>
      <c r="D1061" s="285">
        <v>2536</v>
      </c>
    </row>
    <row r="1062" spans="1:4" ht="15" customHeight="1">
      <c r="A1062" s="282" t="s">
        <v>145</v>
      </c>
      <c r="B1062" s="283">
        <v>3029</v>
      </c>
      <c r="C1062" s="284" t="s">
        <v>371</v>
      </c>
      <c r="D1062" s="285">
        <v>464</v>
      </c>
    </row>
    <row r="1063" spans="1:4" ht="15" customHeight="1">
      <c r="A1063" s="282" t="s">
        <v>145</v>
      </c>
      <c r="B1063" s="283">
        <v>3030</v>
      </c>
      <c r="C1063" s="284" t="s">
        <v>386</v>
      </c>
      <c r="D1063" s="285">
        <v>3000</v>
      </c>
    </row>
    <row r="1064" spans="1:4" ht="15" customHeight="1">
      <c r="A1064" s="282" t="s">
        <v>145</v>
      </c>
      <c r="B1064" s="283">
        <v>4010</v>
      </c>
      <c r="C1064" s="284" t="s">
        <v>343</v>
      </c>
      <c r="D1064" s="285">
        <v>5666027</v>
      </c>
    </row>
    <row r="1065" spans="1:4" ht="15" customHeight="1">
      <c r="A1065" s="282" t="s">
        <v>145</v>
      </c>
      <c r="B1065" s="283">
        <v>4018</v>
      </c>
      <c r="C1065" s="284" t="s">
        <v>343</v>
      </c>
      <c r="D1065" s="285">
        <v>2796737</v>
      </c>
    </row>
    <row r="1066" spans="1:4" ht="15" customHeight="1">
      <c r="A1066" s="282" t="s">
        <v>145</v>
      </c>
      <c r="B1066" s="283">
        <v>4019</v>
      </c>
      <c r="C1066" s="284" t="s">
        <v>343</v>
      </c>
      <c r="D1066" s="285">
        <v>510581</v>
      </c>
    </row>
    <row r="1067" spans="1:4" ht="15" customHeight="1">
      <c r="A1067" s="282" t="s">
        <v>145</v>
      </c>
      <c r="B1067" s="283">
        <v>4040</v>
      </c>
      <c r="C1067" s="284" t="s">
        <v>344</v>
      </c>
      <c r="D1067" s="285">
        <v>515016</v>
      </c>
    </row>
    <row r="1068" spans="1:4" ht="15" customHeight="1">
      <c r="A1068" s="282" t="s">
        <v>145</v>
      </c>
      <c r="B1068" s="283">
        <v>4048</v>
      </c>
      <c r="C1068" s="284" t="s">
        <v>344</v>
      </c>
      <c r="D1068" s="285">
        <v>210001</v>
      </c>
    </row>
    <row r="1069" spans="1:4" ht="15" customHeight="1">
      <c r="A1069" s="282" t="s">
        <v>145</v>
      </c>
      <c r="B1069" s="283">
        <v>4049</v>
      </c>
      <c r="C1069" s="284" t="s">
        <v>344</v>
      </c>
      <c r="D1069" s="285">
        <v>38457</v>
      </c>
    </row>
    <row r="1070" spans="1:4" ht="15" customHeight="1">
      <c r="A1070" s="282" t="s">
        <v>145</v>
      </c>
      <c r="B1070" s="283">
        <v>4110</v>
      </c>
      <c r="C1070" s="284" t="s">
        <v>345</v>
      </c>
      <c r="D1070" s="285">
        <v>1018371</v>
      </c>
    </row>
    <row r="1071" spans="1:4" ht="15" customHeight="1">
      <c r="A1071" s="282" t="s">
        <v>145</v>
      </c>
      <c r="B1071" s="283">
        <v>4118</v>
      </c>
      <c r="C1071" s="284" t="s">
        <v>345</v>
      </c>
      <c r="D1071" s="285">
        <v>496881</v>
      </c>
    </row>
    <row r="1072" spans="1:4" ht="15" customHeight="1">
      <c r="A1072" s="282" t="s">
        <v>145</v>
      </c>
      <c r="B1072" s="283">
        <v>4119</v>
      </c>
      <c r="C1072" s="284" t="s">
        <v>345</v>
      </c>
      <c r="D1072" s="285">
        <v>90854</v>
      </c>
    </row>
    <row r="1073" spans="1:4" ht="15" customHeight="1">
      <c r="A1073" s="282" t="s">
        <v>145</v>
      </c>
      <c r="B1073" s="283">
        <v>4120</v>
      </c>
      <c r="C1073" s="284" t="s">
        <v>346</v>
      </c>
      <c r="D1073" s="285">
        <v>145251</v>
      </c>
    </row>
    <row r="1074" spans="1:4" ht="15" customHeight="1">
      <c r="A1074" s="282" t="s">
        <v>145</v>
      </c>
      <c r="B1074" s="283">
        <v>4128</v>
      </c>
      <c r="C1074" s="284" t="s">
        <v>346</v>
      </c>
      <c r="D1074" s="285">
        <v>73666</v>
      </c>
    </row>
    <row r="1075" spans="1:4" ht="15" customHeight="1">
      <c r="A1075" s="282" t="s">
        <v>145</v>
      </c>
      <c r="B1075" s="283">
        <v>4129</v>
      </c>
      <c r="C1075" s="284" t="s">
        <v>346</v>
      </c>
      <c r="D1075" s="285">
        <v>13451</v>
      </c>
    </row>
    <row r="1076" spans="1:4" ht="15" customHeight="1">
      <c r="A1076" s="282" t="s">
        <v>145</v>
      </c>
      <c r="B1076" s="283">
        <v>4140</v>
      </c>
      <c r="C1076" s="284" t="s">
        <v>372</v>
      </c>
      <c r="D1076" s="285">
        <v>48000</v>
      </c>
    </row>
    <row r="1077" spans="1:4" ht="15" customHeight="1">
      <c r="A1077" s="282" t="s">
        <v>145</v>
      </c>
      <c r="B1077" s="283">
        <v>4170</v>
      </c>
      <c r="C1077" s="284" t="s">
        <v>347</v>
      </c>
      <c r="D1077" s="285">
        <v>16000</v>
      </c>
    </row>
    <row r="1078" spans="1:4" ht="15" customHeight="1">
      <c r="A1078" s="282" t="s">
        <v>145</v>
      </c>
      <c r="B1078" s="283">
        <v>4178</v>
      </c>
      <c r="C1078" s="284" t="s">
        <v>347</v>
      </c>
      <c r="D1078" s="285">
        <v>17742</v>
      </c>
    </row>
    <row r="1079" spans="1:4" ht="15" customHeight="1">
      <c r="A1079" s="282" t="s">
        <v>145</v>
      </c>
      <c r="B1079" s="283">
        <v>4179</v>
      </c>
      <c r="C1079" s="284" t="s">
        <v>347</v>
      </c>
      <c r="D1079" s="285">
        <v>3258</v>
      </c>
    </row>
    <row r="1080" spans="1:4" ht="15" customHeight="1">
      <c r="A1080" s="282" t="s">
        <v>145</v>
      </c>
      <c r="B1080" s="283">
        <v>4210</v>
      </c>
      <c r="C1080" s="284" t="s">
        <v>349</v>
      </c>
      <c r="D1080" s="285">
        <v>36500</v>
      </c>
    </row>
    <row r="1081" spans="1:4" ht="15" customHeight="1">
      <c r="A1081" s="286" t="s">
        <v>145</v>
      </c>
      <c r="B1081" s="287">
        <v>4218</v>
      </c>
      <c r="C1081" s="288" t="s">
        <v>349</v>
      </c>
      <c r="D1081" s="289">
        <v>57075</v>
      </c>
    </row>
    <row r="1082" spans="1:4" ht="15" customHeight="1">
      <c r="A1082" s="290" t="s">
        <v>145</v>
      </c>
      <c r="B1082" s="291">
        <v>4219</v>
      </c>
      <c r="C1082" s="292" t="s">
        <v>349</v>
      </c>
      <c r="D1082" s="293">
        <v>10452</v>
      </c>
    </row>
    <row r="1083" spans="1:4" ht="15" customHeight="1">
      <c r="A1083" s="282" t="s">
        <v>145</v>
      </c>
      <c r="B1083" s="283">
        <v>4220</v>
      </c>
      <c r="C1083" s="284" t="s">
        <v>350</v>
      </c>
      <c r="D1083" s="285">
        <v>2000</v>
      </c>
    </row>
    <row r="1084" spans="1:4" ht="15" customHeight="1">
      <c r="A1084" s="282" t="s">
        <v>145</v>
      </c>
      <c r="B1084" s="283">
        <v>4228</v>
      </c>
      <c r="C1084" s="284" t="s">
        <v>350</v>
      </c>
      <c r="D1084" s="285">
        <v>4566</v>
      </c>
    </row>
    <row r="1085" spans="1:4" ht="15" customHeight="1">
      <c r="A1085" s="282" t="s">
        <v>145</v>
      </c>
      <c r="B1085" s="283">
        <v>4229</v>
      </c>
      <c r="C1085" s="284" t="s">
        <v>350</v>
      </c>
      <c r="D1085" s="285">
        <v>834</v>
      </c>
    </row>
    <row r="1086" spans="1:4" ht="15" customHeight="1">
      <c r="A1086" s="282" t="s">
        <v>145</v>
      </c>
      <c r="B1086" s="283">
        <v>4260</v>
      </c>
      <c r="C1086" s="284" t="s">
        <v>351</v>
      </c>
      <c r="D1086" s="285">
        <v>234600</v>
      </c>
    </row>
    <row r="1087" spans="1:4" ht="15" customHeight="1">
      <c r="A1087" s="282" t="s">
        <v>145</v>
      </c>
      <c r="B1087" s="283">
        <v>4268</v>
      </c>
      <c r="C1087" s="284" t="s">
        <v>351</v>
      </c>
      <c r="D1087" s="285">
        <v>82936</v>
      </c>
    </row>
    <row r="1088" spans="1:4" ht="15" customHeight="1">
      <c r="A1088" s="282" t="s">
        <v>145</v>
      </c>
      <c r="B1088" s="283">
        <v>4269</v>
      </c>
      <c r="C1088" s="284" t="s">
        <v>351</v>
      </c>
      <c r="D1088" s="285">
        <v>15064</v>
      </c>
    </row>
    <row r="1089" spans="1:4" ht="15" customHeight="1">
      <c r="A1089" s="282" t="s">
        <v>145</v>
      </c>
      <c r="B1089" s="283">
        <v>4270</v>
      </c>
      <c r="C1089" s="284" t="s">
        <v>352</v>
      </c>
      <c r="D1089" s="285">
        <v>85200</v>
      </c>
    </row>
    <row r="1090" spans="1:4" ht="15" customHeight="1">
      <c r="A1090" s="282" t="s">
        <v>145</v>
      </c>
      <c r="B1090" s="283">
        <v>4278</v>
      </c>
      <c r="C1090" s="284" t="s">
        <v>352</v>
      </c>
      <c r="D1090" s="285">
        <v>5068</v>
      </c>
    </row>
    <row r="1091" spans="1:4" ht="15" customHeight="1">
      <c r="A1091" s="282" t="s">
        <v>145</v>
      </c>
      <c r="B1091" s="283">
        <v>4279</v>
      </c>
      <c r="C1091" s="284" t="s">
        <v>352</v>
      </c>
      <c r="D1091" s="285">
        <v>912</v>
      </c>
    </row>
    <row r="1092" spans="1:4" ht="15" customHeight="1">
      <c r="A1092" s="282" t="s">
        <v>145</v>
      </c>
      <c r="B1092" s="283">
        <v>4280</v>
      </c>
      <c r="C1092" s="284" t="s">
        <v>373</v>
      </c>
      <c r="D1092" s="285">
        <v>3000</v>
      </c>
    </row>
    <row r="1093" spans="1:4" ht="15" customHeight="1">
      <c r="A1093" s="282" t="s">
        <v>145</v>
      </c>
      <c r="B1093" s="283">
        <v>4288</v>
      </c>
      <c r="C1093" s="284" t="s">
        <v>373</v>
      </c>
      <c r="D1093" s="285">
        <v>2961</v>
      </c>
    </row>
    <row r="1094" spans="1:4" ht="15" customHeight="1">
      <c r="A1094" s="282" t="s">
        <v>145</v>
      </c>
      <c r="B1094" s="283">
        <v>4289</v>
      </c>
      <c r="C1094" s="284" t="s">
        <v>373</v>
      </c>
      <c r="D1094" s="285">
        <v>539</v>
      </c>
    </row>
    <row r="1095" spans="1:4" ht="15" customHeight="1">
      <c r="A1095" s="282" t="s">
        <v>145</v>
      </c>
      <c r="B1095" s="283">
        <v>4300</v>
      </c>
      <c r="C1095" s="284" t="s">
        <v>353</v>
      </c>
      <c r="D1095" s="285">
        <v>348340</v>
      </c>
    </row>
    <row r="1096" spans="1:4" ht="15" customHeight="1">
      <c r="A1096" s="282" t="s">
        <v>145</v>
      </c>
      <c r="B1096" s="283">
        <v>4308</v>
      </c>
      <c r="C1096" s="284" t="s">
        <v>353</v>
      </c>
      <c r="D1096" s="285">
        <v>199459</v>
      </c>
    </row>
    <row r="1097" spans="1:4" ht="15" customHeight="1">
      <c r="A1097" s="282" t="s">
        <v>145</v>
      </c>
      <c r="B1097" s="283">
        <v>4309</v>
      </c>
      <c r="C1097" s="284" t="s">
        <v>353</v>
      </c>
      <c r="D1097" s="285">
        <v>36115</v>
      </c>
    </row>
    <row r="1098" spans="1:4" ht="15" customHeight="1">
      <c r="A1098" s="282" t="s">
        <v>145</v>
      </c>
      <c r="B1098" s="283">
        <v>4360</v>
      </c>
      <c r="C1098" s="284" t="s">
        <v>354</v>
      </c>
      <c r="D1098" s="285">
        <v>51225</v>
      </c>
    </row>
    <row r="1099" spans="1:4" ht="15" customHeight="1">
      <c r="A1099" s="282" t="s">
        <v>145</v>
      </c>
      <c r="B1099" s="283">
        <v>4368</v>
      </c>
      <c r="C1099" s="284" t="s">
        <v>354</v>
      </c>
      <c r="D1099" s="285">
        <v>42376</v>
      </c>
    </row>
    <row r="1100" spans="1:4" ht="15" customHeight="1">
      <c r="A1100" s="282" t="s">
        <v>145</v>
      </c>
      <c r="B1100" s="283">
        <v>4369</v>
      </c>
      <c r="C1100" s="284" t="s">
        <v>354</v>
      </c>
      <c r="D1100" s="285">
        <v>7684</v>
      </c>
    </row>
    <row r="1101" spans="1:4" ht="15" customHeight="1">
      <c r="A1101" s="282" t="s">
        <v>145</v>
      </c>
      <c r="B1101" s="283">
        <v>4400</v>
      </c>
      <c r="C1101" s="284" t="s">
        <v>356</v>
      </c>
      <c r="D1101" s="285">
        <v>433000</v>
      </c>
    </row>
    <row r="1102" spans="1:4" ht="15" customHeight="1">
      <c r="A1102" s="282" t="s">
        <v>145</v>
      </c>
      <c r="B1102" s="283">
        <v>4408</v>
      </c>
      <c r="C1102" s="284" t="s">
        <v>356</v>
      </c>
      <c r="D1102" s="285">
        <v>73633</v>
      </c>
    </row>
    <row r="1103" spans="1:4" ht="15" customHeight="1">
      <c r="A1103" s="282" t="s">
        <v>145</v>
      </c>
      <c r="B1103" s="283">
        <v>4409</v>
      </c>
      <c r="C1103" s="284" t="s">
        <v>356</v>
      </c>
      <c r="D1103" s="285">
        <v>13367</v>
      </c>
    </row>
    <row r="1104" spans="1:4" ht="15" customHeight="1">
      <c r="A1104" s="282" t="s">
        <v>145</v>
      </c>
      <c r="B1104" s="283">
        <v>4410</v>
      </c>
      <c r="C1104" s="284" t="s">
        <v>357</v>
      </c>
      <c r="D1104" s="285">
        <v>14000</v>
      </c>
    </row>
    <row r="1105" spans="1:4" ht="15" customHeight="1">
      <c r="A1105" s="282" t="s">
        <v>145</v>
      </c>
      <c r="B1105" s="283">
        <v>4418</v>
      </c>
      <c r="C1105" s="284" t="s">
        <v>357</v>
      </c>
      <c r="D1105" s="285">
        <v>6537</v>
      </c>
    </row>
    <row r="1106" spans="1:4" ht="15" customHeight="1">
      <c r="A1106" s="282" t="s">
        <v>145</v>
      </c>
      <c r="B1106" s="283">
        <v>4419</v>
      </c>
      <c r="C1106" s="284" t="s">
        <v>357</v>
      </c>
      <c r="D1106" s="285">
        <v>1196</v>
      </c>
    </row>
    <row r="1107" spans="1:4" ht="15" customHeight="1">
      <c r="A1107" s="282" t="s">
        <v>145</v>
      </c>
      <c r="B1107" s="283">
        <v>4420</v>
      </c>
      <c r="C1107" s="284" t="s">
        <v>358</v>
      </c>
      <c r="D1107" s="285">
        <v>3000</v>
      </c>
    </row>
    <row r="1108" spans="1:4" ht="15" customHeight="1">
      <c r="A1108" s="282" t="s">
        <v>145</v>
      </c>
      <c r="B1108" s="283">
        <v>4430</v>
      </c>
      <c r="C1108" s="284" t="s">
        <v>359</v>
      </c>
      <c r="D1108" s="285">
        <v>10000</v>
      </c>
    </row>
    <row r="1109" spans="1:4" ht="15" customHeight="1">
      <c r="A1109" s="282" t="s">
        <v>145</v>
      </c>
      <c r="B1109" s="283">
        <v>4438</v>
      </c>
      <c r="C1109" s="284" t="s">
        <v>359</v>
      </c>
      <c r="D1109" s="285">
        <v>4910</v>
      </c>
    </row>
    <row r="1110" spans="1:4" ht="15" customHeight="1">
      <c r="A1110" s="282" t="s">
        <v>145</v>
      </c>
      <c r="B1110" s="283">
        <v>4439</v>
      </c>
      <c r="C1110" s="284" t="s">
        <v>359</v>
      </c>
      <c r="D1110" s="285">
        <v>890</v>
      </c>
    </row>
    <row r="1111" spans="1:4" ht="15" customHeight="1">
      <c r="A1111" s="282" t="s">
        <v>145</v>
      </c>
      <c r="B1111" s="283">
        <v>4440</v>
      </c>
      <c r="C1111" s="284" t="s">
        <v>375</v>
      </c>
      <c r="D1111" s="285">
        <v>197139</v>
      </c>
    </row>
    <row r="1112" spans="1:4" ht="15" customHeight="1">
      <c r="A1112" s="282" t="s">
        <v>145</v>
      </c>
      <c r="B1112" s="283">
        <v>4480</v>
      </c>
      <c r="C1112" s="284" t="s">
        <v>376</v>
      </c>
      <c r="D1112" s="285">
        <v>26900</v>
      </c>
    </row>
    <row r="1113" spans="1:4" ht="15" customHeight="1">
      <c r="A1113" s="282" t="s">
        <v>145</v>
      </c>
      <c r="B1113" s="283">
        <v>4520</v>
      </c>
      <c r="C1113" s="284" t="s">
        <v>379</v>
      </c>
      <c r="D1113" s="285">
        <v>35395</v>
      </c>
    </row>
    <row r="1114" spans="1:4" ht="15" customHeight="1">
      <c r="A1114" s="282" t="s">
        <v>145</v>
      </c>
      <c r="B1114" s="283">
        <v>4700</v>
      </c>
      <c r="C1114" s="284" t="s">
        <v>360</v>
      </c>
      <c r="D1114" s="285">
        <v>6000</v>
      </c>
    </row>
    <row r="1115" spans="1:4" ht="15" customHeight="1">
      <c r="A1115" s="282" t="s">
        <v>145</v>
      </c>
      <c r="B1115" s="283">
        <v>4708</v>
      </c>
      <c r="C1115" s="284" t="s">
        <v>360</v>
      </c>
      <c r="D1115" s="285">
        <v>38217</v>
      </c>
    </row>
    <row r="1116" spans="1:4" ht="15" customHeight="1">
      <c r="A1116" s="282" t="s">
        <v>145</v>
      </c>
      <c r="B1116" s="283">
        <v>4709</v>
      </c>
      <c r="C1116" s="284" t="s">
        <v>360</v>
      </c>
      <c r="D1116" s="285">
        <v>6983</v>
      </c>
    </row>
    <row r="1117" spans="1:4" ht="15" customHeight="1">
      <c r="A1117" s="282" t="s">
        <v>145</v>
      </c>
      <c r="B1117" s="283">
        <v>6050</v>
      </c>
      <c r="C1117" s="284" t="s">
        <v>370</v>
      </c>
      <c r="D1117" s="285">
        <v>100000</v>
      </c>
    </row>
    <row r="1118" spans="1:4" ht="15" customHeight="1">
      <c r="A1118" s="282" t="s">
        <v>145</v>
      </c>
      <c r="B1118" s="283">
        <v>6060</v>
      </c>
      <c r="C1118" s="284" t="s">
        <v>380</v>
      </c>
      <c r="D1118" s="285">
        <v>75000</v>
      </c>
    </row>
    <row r="1119" spans="1:4" ht="15" customHeight="1">
      <c r="A1119" s="282" t="s">
        <v>145</v>
      </c>
      <c r="B1119" s="283">
        <v>6068</v>
      </c>
      <c r="C1119" s="284" t="s">
        <v>380</v>
      </c>
      <c r="D1119" s="285">
        <v>20000</v>
      </c>
    </row>
    <row r="1120" spans="1:4" ht="15" customHeight="1">
      <c r="A1120" s="282" t="s">
        <v>145</v>
      </c>
      <c r="B1120" s="283">
        <v>6069</v>
      </c>
      <c r="C1120" s="284" t="s">
        <v>380</v>
      </c>
      <c r="D1120" s="285">
        <v>3730</v>
      </c>
    </row>
    <row r="1121" spans="1:4" s="277" customFormat="1" ht="15" customHeight="1">
      <c r="A1121" s="278">
        <v>85395</v>
      </c>
      <c r="B1121" s="279" t="s">
        <v>145</v>
      </c>
      <c r="C1121" s="280" t="s">
        <v>130</v>
      </c>
      <c r="D1121" s="281">
        <f>SUM(D1122:D1128)</f>
        <v>2794728</v>
      </c>
    </row>
    <row r="1122" spans="1:4" ht="40.5" customHeight="1">
      <c r="A1122" s="282" t="s">
        <v>145</v>
      </c>
      <c r="B1122" s="283">
        <v>2009</v>
      </c>
      <c r="C1122" s="284" t="s">
        <v>341</v>
      </c>
      <c r="D1122" s="285">
        <v>2331728</v>
      </c>
    </row>
    <row r="1123" spans="1:4" ht="39.75" customHeight="1">
      <c r="A1123" s="282" t="s">
        <v>145</v>
      </c>
      <c r="B1123" s="283">
        <v>2360</v>
      </c>
      <c r="C1123" s="284" t="s">
        <v>383</v>
      </c>
      <c r="D1123" s="285">
        <v>350000</v>
      </c>
    </row>
    <row r="1124" spans="1:4" ht="15" customHeight="1">
      <c r="A1124" s="282" t="s">
        <v>145</v>
      </c>
      <c r="B1124" s="283">
        <v>4170</v>
      </c>
      <c r="C1124" s="284" t="s">
        <v>347</v>
      </c>
      <c r="D1124" s="285">
        <v>5000</v>
      </c>
    </row>
    <row r="1125" spans="1:4" ht="15" customHeight="1">
      <c r="A1125" s="282" t="s">
        <v>145</v>
      </c>
      <c r="B1125" s="283">
        <v>4190</v>
      </c>
      <c r="C1125" s="284" t="s">
        <v>348</v>
      </c>
      <c r="D1125" s="285">
        <v>10000</v>
      </c>
    </row>
    <row r="1126" spans="1:4" ht="15" customHeight="1">
      <c r="A1126" s="282" t="s">
        <v>145</v>
      </c>
      <c r="B1126" s="283">
        <v>4210</v>
      </c>
      <c r="C1126" s="284" t="s">
        <v>349</v>
      </c>
      <c r="D1126" s="285">
        <v>6200</v>
      </c>
    </row>
    <row r="1127" spans="1:4" ht="15" customHeight="1">
      <c r="A1127" s="282" t="s">
        <v>145</v>
      </c>
      <c r="B1127" s="283">
        <v>4220</v>
      </c>
      <c r="C1127" s="284" t="s">
        <v>350</v>
      </c>
      <c r="D1127" s="285">
        <v>6000</v>
      </c>
    </row>
    <row r="1128" spans="1:4" ht="19.5" customHeight="1">
      <c r="A1128" s="286" t="s">
        <v>145</v>
      </c>
      <c r="B1128" s="287">
        <v>4300</v>
      </c>
      <c r="C1128" s="288" t="s">
        <v>353</v>
      </c>
      <c r="D1128" s="289">
        <v>85800</v>
      </c>
    </row>
    <row r="1129" spans="1:4" s="277" customFormat="1" ht="15" customHeight="1">
      <c r="A1129" s="273" t="s">
        <v>61</v>
      </c>
      <c r="B1129" s="274" t="s">
        <v>145</v>
      </c>
      <c r="C1129" s="275" t="s">
        <v>63</v>
      </c>
      <c r="D1129" s="276">
        <f>D1130+D1177+D1190+D1205+D1220+D1222+D1237+D1239</f>
        <v>55465159</v>
      </c>
    </row>
    <row r="1130" spans="1:4" s="277" customFormat="1" ht="15" customHeight="1">
      <c r="A1130" s="278">
        <v>85403</v>
      </c>
      <c r="B1130" s="279" t="s">
        <v>145</v>
      </c>
      <c r="C1130" s="280" t="s">
        <v>121</v>
      </c>
      <c r="D1130" s="281">
        <f>SUM(D1131:D1176)</f>
        <v>41976033</v>
      </c>
    </row>
    <row r="1131" spans="1:4" ht="15" customHeight="1">
      <c r="A1131" s="282" t="s">
        <v>145</v>
      </c>
      <c r="B1131" s="283">
        <v>3020</v>
      </c>
      <c r="C1131" s="284" t="s">
        <v>371</v>
      </c>
      <c r="D1131" s="285">
        <v>7800</v>
      </c>
    </row>
    <row r="1132" spans="1:4" ht="15" customHeight="1">
      <c r="A1132" s="282" t="s">
        <v>145</v>
      </c>
      <c r="B1132" s="283">
        <v>4010</v>
      </c>
      <c r="C1132" s="284" t="s">
        <v>343</v>
      </c>
      <c r="D1132" s="285">
        <v>11731902</v>
      </c>
    </row>
    <row r="1133" spans="1:4" ht="15" customHeight="1">
      <c r="A1133" s="282" t="s">
        <v>145</v>
      </c>
      <c r="B1133" s="283">
        <v>4017</v>
      </c>
      <c r="C1133" s="284" t="s">
        <v>343</v>
      </c>
      <c r="D1133" s="285">
        <v>541359</v>
      </c>
    </row>
    <row r="1134" spans="1:4" ht="15" customHeight="1">
      <c r="A1134" s="282" t="s">
        <v>145</v>
      </c>
      <c r="B1134" s="283">
        <v>4019</v>
      </c>
      <c r="C1134" s="284" t="s">
        <v>343</v>
      </c>
      <c r="D1134" s="285">
        <v>95532</v>
      </c>
    </row>
    <row r="1135" spans="1:4" ht="15" customHeight="1">
      <c r="A1135" s="282" t="s">
        <v>145</v>
      </c>
      <c r="B1135" s="283">
        <v>4040</v>
      </c>
      <c r="C1135" s="284" t="s">
        <v>344</v>
      </c>
      <c r="D1135" s="285">
        <v>919581</v>
      </c>
    </row>
    <row r="1136" spans="1:4" ht="15" customHeight="1">
      <c r="A1136" s="286" t="s">
        <v>145</v>
      </c>
      <c r="B1136" s="287">
        <v>4047</v>
      </c>
      <c r="C1136" s="288" t="s">
        <v>344</v>
      </c>
      <c r="D1136" s="289">
        <v>34951</v>
      </c>
    </row>
    <row r="1137" spans="1:4" ht="15" customHeight="1">
      <c r="A1137" s="290" t="s">
        <v>145</v>
      </c>
      <c r="B1137" s="291">
        <v>4049</v>
      </c>
      <c r="C1137" s="292" t="s">
        <v>344</v>
      </c>
      <c r="D1137" s="293">
        <v>6169</v>
      </c>
    </row>
    <row r="1138" spans="1:4" ht="15" customHeight="1">
      <c r="A1138" s="282" t="s">
        <v>145</v>
      </c>
      <c r="B1138" s="283">
        <v>4110</v>
      </c>
      <c r="C1138" s="284" t="s">
        <v>345</v>
      </c>
      <c r="D1138" s="285">
        <v>2145577</v>
      </c>
    </row>
    <row r="1139" spans="1:4" ht="15" customHeight="1">
      <c r="A1139" s="282" t="s">
        <v>145</v>
      </c>
      <c r="B1139" s="283">
        <v>4117</v>
      </c>
      <c r="C1139" s="284" t="s">
        <v>345</v>
      </c>
      <c r="D1139" s="285">
        <v>99516</v>
      </c>
    </row>
    <row r="1140" spans="1:4" ht="15" customHeight="1">
      <c r="A1140" s="282" t="s">
        <v>145</v>
      </c>
      <c r="B1140" s="283">
        <v>4119</v>
      </c>
      <c r="C1140" s="284" t="s">
        <v>345</v>
      </c>
      <c r="D1140" s="285">
        <v>17562</v>
      </c>
    </row>
    <row r="1141" spans="1:4" ht="15" customHeight="1">
      <c r="A1141" s="282" t="s">
        <v>145</v>
      </c>
      <c r="B1141" s="283">
        <v>4120</v>
      </c>
      <c r="C1141" s="284" t="s">
        <v>346</v>
      </c>
      <c r="D1141" s="285">
        <v>276666</v>
      </c>
    </row>
    <row r="1142" spans="1:4" ht="15" customHeight="1">
      <c r="A1142" s="282" t="s">
        <v>145</v>
      </c>
      <c r="B1142" s="283">
        <v>4127</v>
      </c>
      <c r="C1142" s="284" t="s">
        <v>346</v>
      </c>
      <c r="D1142" s="285">
        <v>14888</v>
      </c>
    </row>
    <row r="1143" spans="1:4" ht="15" customHeight="1">
      <c r="A1143" s="282" t="s">
        <v>145</v>
      </c>
      <c r="B1143" s="283">
        <v>4129</v>
      </c>
      <c r="C1143" s="284" t="s">
        <v>346</v>
      </c>
      <c r="D1143" s="285">
        <v>2626</v>
      </c>
    </row>
    <row r="1144" spans="1:4" ht="15" customHeight="1">
      <c r="A1144" s="282" t="s">
        <v>145</v>
      </c>
      <c r="B1144" s="283">
        <v>4170</v>
      </c>
      <c r="C1144" s="284" t="s">
        <v>347</v>
      </c>
      <c r="D1144" s="285">
        <v>2000</v>
      </c>
    </row>
    <row r="1145" spans="1:4" ht="15" customHeight="1">
      <c r="A1145" s="282" t="s">
        <v>145</v>
      </c>
      <c r="B1145" s="283">
        <v>4177</v>
      </c>
      <c r="C1145" s="284" t="s">
        <v>347</v>
      </c>
      <c r="D1145" s="285">
        <v>1700</v>
      </c>
    </row>
    <row r="1146" spans="1:4" ht="15" customHeight="1">
      <c r="A1146" s="282" t="s">
        <v>145</v>
      </c>
      <c r="B1146" s="283">
        <v>4179</v>
      </c>
      <c r="C1146" s="284" t="s">
        <v>347</v>
      </c>
      <c r="D1146" s="285">
        <v>300</v>
      </c>
    </row>
    <row r="1147" spans="1:4" ht="15" customHeight="1">
      <c r="A1147" s="282" t="s">
        <v>145</v>
      </c>
      <c r="B1147" s="283">
        <v>4210</v>
      </c>
      <c r="C1147" s="284" t="s">
        <v>349</v>
      </c>
      <c r="D1147" s="285">
        <v>91000</v>
      </c>
    </row>
    <row r="1148" spans="1:4" ht="15" customHeight="1">
      <c r="A1148" s="282" t="s">
        <v>145</v>
      </c>
      <c r="B1148" s="283">
        <v>4217</v>
      </c>
      <c r="C1148" s="284" t="s">
        <v>349</v>
      </c>
      <c r="D1148" s="285">
        <v>4004</v>
      </c>
    </row>
    <row r="1149" spans="1:4" ht="15" customHeight="1">
      <c r="A1149" s="282" t="s">
        <v>145</v>
      </c>
      <c r="B1149" s="283">
        <v>4219</v>
      </c>
      <c r="C1149" s="284" t="s">
        <v>349</v>
      </c>
      <c r="D1149" s="285">
        <v>707</v>
      </c>
    </row>
    <row r="1150" spans="1:4" ht="15" customHeight="1">
      <c r="A1150" s="282" t="s">
        <v>145</v>
      </c>
      <c r="B1150" s="283">
        <v>4220</v>
      </c>
      <c r="C1150" s="284" t="s">
        <v>350</v>
      </c>
      <c r="D1150" s="285">
        <v>491000</v>
      </c>
    </row>
    <row r="1151" spans="1:4" ht="15" customHeight="1">
      <c r="A1151" s="282" t="s">
        <v>145</v>
      </c>
      <c r="B1151" s="283">
        <v>4240</v>
      </c>
      <c r="C1151" s="284" t="s">
        <v>393</v>
      </c>
      <c r="D1151" s="285">
        <v>16000</v>
      </c>
    </row>
    <row r="1152" spans="1:4" ht="15" customHeight="1">
      <c r="A1152" s="282" t="s">
        <v>145</v>
      </c>
      <c r="B1152" s="283">
        <v>4260</v>
      </c>
      <c r="C1152" s="284" t="s">
        <v>351</v>
      </c>
      <c r="D1152" s="285">
        <v>390900</v>
      </c>
    </row>
    <row r="1153" spans="1:4" ht="15" customHeight="1">
      <c r="A1153" s="282" t="s">
        <v>145</v>
      </c>
      <c r="B1153" s="283">
        <v>4267</v>
      </c>
      <c r="C1153" s="284" t="s">
        <v>351</v>
      </c>
      <c r="D1153" s="285">
        <v>7202</v>
      </c>
    </row>
    <row r="1154" spans="1:4" ht="15" customHeight="1">
      <c r="A1154" s="282" t="s">
        <v>145</v>
      </c>
      <c r="B1154" s="283">
        <v>4269</v>
      </c>
      <c r="C1154" s="284" t="s">
        <v>351</v>
      </c>
      <c r="D1154" s="285">
        <v>1271</v>
      </c>
    </row>
    <row r="1155" spans="1:4" ht="15" customHeight="1">
      <c r="A1155" s="282" t="s">
        <v>145</v>
      </c>
      <c r="B1155" s="283">
        <v>4270</v>
      </c>
      <c r="C1155" s="284" t="s">
        <v>352</v>
      </c>
      <c r="D1155" s="285">
        <v>678000</v>
      </c>
    </row>
    <row r="1156" spans="1:4" ht="15" customHeight="1">
      <c r="A1156" s="282" t="s">
        <v>145</v>
      </c>
      <c r="B1156" s="283">
        <v>4280</v>
      </c>
      <c r="C1156" s="284" t="s">
        <v>373</v>
      </c>
      <c r="D1156" s="285">
        <v>8300</v>
      </c>
    </row>
    <row r="1157" spans="1:4" ht="15" customHeight="1">
      <c r="A1157" s="282" t="s">
        <v>145</v>
      </c>
      <c r="B1157" s="283">
        <v>4300</v>
      </c>
      <c r="C1157" s="284" t="s">
        <v>353</v>
      </c>
      <c r="D1157" s="285">
        <v>363758</v>
      </c>
    </row>
    <row r="1158" spans="1:4" ht="15" customHeight="1">
      <c r="A1158" s="282" t="s">
        <v>145</v>
      </c>
      <c r="B1158" s="283">
        <v>4307</v>
      </c>
      <c r="C1158" s="284" t="s">
        <v>353</v>
      </c>
      <c r="D1158" s="285">
        <v>196300</v>
      </c>
    </row>
    <row r="1159" spans="1:4" ht="15" customHeight="1">
      <c r="A1159" s="282" t="s">
        <v>145</v>
      </c>
      <c r="B1159" s="283">
        <v>4309</v>
      </c>
      <c r="C1159" s="284" t="s">
        <v>353</v>
      </c>
      <c r="D1159" s="285">
        <v>34641</v>
      </c>
    </row>
    <row r="1160" spans="1:4" ht="15" customHeight="1">
      <c r="A1160" s="282" t="s">
        <v>145</v>
      </c>
      <c r="B1160" s="283">
        <v>4360</v>
      </c>
      <c r="C1160" s="284" t="s">
        <v>354</v>
      </c>
      <c r="D1160" s="285">
        <v>15200</v>
      </c>
    </row>
    <row r="1161" spans="1:4" ht="15" customHeight="1">
      <c r="A1161" s="282" t="s">
        <v>145</v>
      </c>
      <c r="B1161" s="283">
        <v>4390</v>
      </c>
      <c r="C1161" s="284" t="s">
        <v>374</v>
      </c>
      <c r="D1161" s="285">
        <v>1000</v>
      </c>
    </row>
    <row r="1162" spans="1:4" ht="15" customHeight="1">
      <c r="A1162" s="282" t="s">
        <v>145</v>
      </c>
      <c r="B1162" s="283">
        <v>4407</v>
      </c>
      <c r="C1162" s="284" t="s">
        <v>356</v>
      </c>
      <c r="D1162" s="285">
        <v>45625</v>
      </c>
    </row>
    <row r="1163" spans="1:4" ht="15" customHeight="1">
      <c r="A1163" s="282" t="s">
        <v>145</v>
      </c>
      <c r="B1163" s="283">
        <v>4409</v>
      </c>
      <c r="C1163" s="284" t="s">
        <v>356</v>
      </c>
      <c r="D1163" s="285">
        <v>8051</v>
      </c>
    </row>
    <row r="1164" spans="1:4" ht="15" customHeight="1">
      <c r="A1164" s="282" t="s">
        <v>145</v>
      </c>
      <c r="B1164" s="283">
        <v>4410</v>
      </c>
      <c r="C1164" s="284" t="s">
        <v>357</v>
      </c>
      <c r="D1164" s="285">
        <v>2700</v>
      </c>
    </row>
    <row r="1165" spans="1:4" ht="15" customHeight="1">
      <c r="A1165" s="282" t="s">
        <v>145</v>
      </c>
      <c r="B1165" s="283">
        <v>4430</v>
      </c>
      <c r="C1165" s="284" t="s">
        <v>359</v>
      </c>
      <c r="D1165" s="285">
        <v>31500</v>
      </c>
    </row>
    <row r="1166" spans="1:4" ht="15" customHeight="1">
      <c r="A1166" s="282" t="s">
        <v>145</v>
      </c>
      <c r="B1166" s="283">
        <v>4440</v>
      </c>
      <c r="C1166" s="284" t="s">
        <v>375</v>
      </c>
      <c r="D1166" s="285">
        <v>467986</v>
      </c>
    </row>
    <row r="1167" spans="1:4" ht="15" customHeight="1">
      <c r="A1167" s="282" t="s">
        <v>145</v>
      </c>
      <c r="B1167" s="283">
        <v>4480</v>
      </c>
      <c r="C1167" s="284" t="s">
        <v>376</v>
      </c>
      <c r="D1167" s="285">
        <v>100</v>
      </c>
    </row>
    <row r="1168" spans="1:4" ht="15" customHeight="1">
      <c r="A1168" s="282" t="s">
        <v>145</v>
      </c>
      <c r="B1168" s="283">
        <v>4500</v>
      </c>
      <c r="C1168" s="284" t="s">
        <v>377</v>
      </c>
      <c r="D1168" s="285">
        <v>1500</v>
      </c>
    </row>
    <row r="1169" spans="1:4" ht="15" customHeight="1">
      <c r="A1169" s="282" t="s">
        <v>145</v>
      </c>
      <c r="B1169" s="283">
        <v>4520</v>
      </c>
      <c r="C1169" s="284" t="s">
        <v>379</v>
      </c>
      <c r="D1169" s="285">
        <v>242</v>
      </c>
    </row>
    <row r="1170" spans="1:4" ht="15" customHeight="1">
      <c r="A1170" s="282" t="s">
        <v>145</v>
      </c>
      <c r="B1170" s="283">
        <v>4700</v>
      </c>
      <c r="C1170" s="284" t="s">
        <v>360</v>
      </c>
      <c r="D1170" s="285">
        <v>8000</v>
      </c>
    </row>
    <row r="1171" spans="1:4" ht="15" customHeight="1">
      <c r="A1171" s="282" t="s">
        <v>145</v>
      </c>
      <c r="B1171" s="283">
        <v>6050</v>
      </c>
      <c r="C1171" s="284" t="s">
        <v>370</v>
      </c>
      <c r="D1171" s="285">
        <v>6651925</v>
      </c>
    </row>
    <row r="1172" spans="1:4" ht="15" customHeight="1">
      <c r="A1172" s="282" t="s">
        <v>145</v>
      </c>
      <c r="B1172" s="283">
        <v>6057</v>
      </c>
      <c r="C1172" s="284" t="s">
        <v>370</v>
      </c>
      <c r="D1172" s="285">
        <v>12207144</v>
      </c>
    </row>
    <row r="1173" spans="1:4" ht="15" customHeight="1">
      <c r="A1173" s="282" t="s">
        <v>145</v>
      </c>
      <c r="B1173" s="283">
        <v>6059</v>
      </c>
      <c r="C1173" s="284" t="s">
        <v>370</v>
      </c>
      <c r="D1173" s="285">
        <v>2154204</v>
      </c>
    </row>
    <row r="1174" spans="1:4" ht="15" customHeight="1">
      <c r="A1174" s="282" t="s">
        <v>145</v>
      </c>
      <c r="B1174" s="283">
        <v>6060</v>
      </c>
      <c r="C1174" s="284" t="s">
        <v>380</v>
      </c>
      <c r="D1174" s="285">
        <v>222915</v>
      </c>
    </row>
    <row r="1175" spans="1:4" ht="15" customHeight="1">
      <c r="A1175" s="282" t="s">
        <v>145</v>
      </c>
      <c r="B1175" s="283">
        <v>6067</v>
      </c>
      <c r="C1175" s="284" t="s">
        <v>380</v>
      </c>
      <c r="D1175" s="285">
        <v>1680220</v>
      </c>
    </row>
    <row r="1176" spans="1:4" ht="15" customHeight="1">
      <c r="A1176" s="282" t="s">
        <v>145</v>
      </c>
      <c r="B1176" s="283">
        <v>6069</v>
      </c>
      <c r="C1176" s="284" t="s">
        <v>380</v>
      </c>
      <c r="D1176" s="285">
        <v>296509</v>
      </c>
    </row>
    <row r="1177" spans="1:4" s="277" customFormat="1" ht="15" customHeight="1">
      <c r="A1177" s="278">
        <v>85404</v>
      </c>
      <c r="B1177" s="279" t="s">
        <v>145</v>
      </c>
      <c r="C1177" s="280" t="s">
        <v>144</v>
      </c>
      <c r="D1177" s="281">
        <f>SUM(D1178:D1189)</f>
        <v>1477192</v>
      </c>
    </row>
    <row r="1178" spans="1:4" ht="15" customHeight="1">
      <c r="A1178" s="282" t="s">
        <v>145</v>
      </c>
      <c r="B1178" s="283">
        <v>4010</v>
      </c>
      <c r="C1178" s="284" t="s">
        <v>343</v>
      </c>
      <c r="D1178" s="285">
        <v>1084008</v>
      </c>
    </row>
    <row r="1179" spans="1:4" ht="15" customHeight="1">
      <c r="A1179" s="282" t="s">
        <v>145</v>
      </c>
      <c r="B1179" s="283">
        <v>4040</v>
      </c>
      <c r="C1179" s="284" t="s">
        <v>344</v>
      </c>
      <c r="D1179" s="285">
        <v>68923</v>
      </c>
    </row>
    <row r="1180" spans="1:4" ht="15" customHeight="1">
      <c r="A1180" s="282" t="s">
        <v>145</v>
      </c>
      <c r="B1180" s="283">
        <v>4110</v>
      </c>
      <c r="C1180" s="284" t="s">
        <v>345</v>
      </c>
      <c r="D1180" s="285">
        <v>199275</v>
      </c>
    </row>
    <row r="1181" spans="1:4" ht="15" customHeight="1">
      <c r="A1181" s="282" t="s">
        <v>145</v>
      </c>
      <c r="B1181" s="283">
        <v>4120</v>
      </c>
      <c r="C1181" s="284" t="s">
        <v>346</v>
      </c>
      <c r="D1181" s="285">
        <v>28088</v>
      </c>
    </row>
    <row r="1182" spans="1:4" ht="15" customHeight="1">
      <c r="A1182" s="282" t="s">
        <v>145</v>
      </c>
      <c r="B1182" s="283">
        <v>4210</v>
      </c>
      <c r="C1182" s="284" t="s">
        <v>349</v>
      </c>
      <c r="D1182" s="285">
        <v>9000</v>
      </c>
    </row>
    <row r="1183" spans="1:4" ht="15" customHeight="1">
      <c r="A1183" s="282" t="s">
        <v>145</v>
      </c>
      <c r="B1183" s="283">
        <v>4240</v>
      </c>
      <c r="C1183" s="284" t="s">
        <v>393</v>
      </c>
      <c r="D1183" s="285">
        <v>14000</v>
      </c>
    </row>
    <row r="1184" spans="1:4" ht="15" customHeight="1">
      <c r="A1184" s="282" t="s">
        <v>145</v>
      </c>
      <c r="B1184" s="283">
        <v>4260</v>
      </c>
      <c r="C1184" s="284" t="s">
        <v>351</v>
      </c>
      <c r="D1184" s="285">
        <v>27000</v>
      </c>
    </row>
    <row r="1185" spans="1:4" ht="15" customHeight="1">
      <c r="A1185" s="282" t="s">
        <v>145</v>
      </c>
      <c r="B1185" s="283">
        <v>4270</v>
      </c>
      <c r="C1185" s="284" t="s">
        <v>352</v>
      </c>
      <c r="D1185" s="285">
        <v>2000</v>
      </c>
    </row>
    <row r="1186" spans="1:4" ht="15" customHeight="1">
      <c r="A1186" s="282" t="s">
        <v>145</v>
      </c>
      <c r="B1186" s="283">
        <v>4300</v>
      </c>
      <c r="C1186" s="284" t="s">
        <v>353</v>
      </c>
      <c r="D1186" s="285">
        <v>8800</v>
      </c>
    </row>
    <row r="1187" spans="1:4" ht="15" customHeight="1">
      <c r="A1187" s="282" t="s">
        <v>145</v>
      </c>
      <c r="B1187" s="283">
        <v>4410</v>
      </c>
      <c r="C1187" s="284" t="s">
        <v>357</v>
      </c>
      <c r="D1187" s="285">
        <v>500</v>
      </c>
    </row>
    <row r="1188" spans="1:4" ht="15" customHeight="1">
      <c r="A1188" s="282" t="s">
        <v>145</v>
      </c>
      <c r="B1188" s="283">
        <v>4430</v>
      </c>
      <c r="C1188" s="284" t="s">
        <v>359</v>
      </c>
      <c r="D1188" s="285">
        <v>800</v>
      </c>
    </row>
    <row r="1189" spans="1:4" ht="15" customHeight="1">
      <c r="A1189" s="282" t="s">
        <v>145</v>
      </c>
      <c r="B1189" s="283">
        <v>4440</v>
      </c>
      <c r="C1189" s="284" t="s">
        <v>375</v>
      </c>
      <c r="D1189" s="285">
        <v>34798</v>
      </c>
    </row>
    <row r="1190" spans="1:4" s="277" customFormat="1" ht="15" customHeight="1">
      <c r="A1190" s="278">
        <v>85407</v>
      </c>
      <c r="B1190" s="279" t="s">
        <v>145</v>
      </c>
      <c r="C1190" s="280" t="s">
        <v>122</v>
      </c>
      <c r="D1190" s="281">
        <f>SUM(D1191:D1204)</f>
        <v>4019861</v>
      </c>
    </row>
    <row r="1191" spans="1:4" ht="15" customHeight="1">
      <c r="A1191" s="282" t="s">
        <v>145</v>
      </c>
      <c r="B1191" s="283">
        <v>3020</v>
      </c>
      <c r="C1191" s="284" t="s">
        <v>371</v>
      </c>
      <c r="D1191" s="285">
        <v>9493</v>
      </c>
    </row>
    <row r="1192" spans="1:4" ht="15" customHeight="1">
      <c r="A1192" s="282" t="s">
        <v>145</v>
      </c>
      <c r="B1192" s="283">
        <v>4010</v>
      </c>
      <c r="C1192" s="284" t="s">
        <v>343</v>
      </c>
      <c r="D1192" s="285">
        <v>3032731</v>
      </c>
    </row>
    <row r="1193" spans="1:4" ht="15" customHeight="1">
      <c r="A1193" s="282" t="s">
        <v>145</v>
      </c>
      <c r="B1193" s="283">
        <v>4040</v>
      </c>
      <c r="C1193" s="284" t="s">
        <v>344</v>
      </c>
      <c r="D1193" s="285">
        <v>235233</v>
      </c>
    </row>
    <row r="1194" spans="1:4" ht="15" customHeight="1">
      <c r="A1194" s="286" t="s">
        <v>145</v>
      </c>
      <c r="B1194" s="287">
        <v>4110</v>
      </c>
      <c r="C1194" s="288" t="s">
        <v>345</v>
      </c>
      <c r="D1194" s="289">
        <v>532812</v>
      </c>
    </row>
    <row r="1195" spans="1:4" ht="15" customHeight="1">
      <c r="A1195" s="290" t="s">
        <v>145</v>
      </c>
      <c r="B1195" s="291">
        <v>4120</v>
      </c>
      <c r="C1195" s="292" t="s">
        <v>346</v>
      </c>
      <c r="D1195" s="293">
        <v>56068</v>
      </c>
    </row>
    <row r="1196" spans="1:4" ht="15" customHeight="1">
      <c r="A1196" s="282" t="s">
        <v>145</v>
      </c>
      <c r="B1196" s="283">
        <v>4210</v>
      </c>
      <c r="C1196" s="284" t="s">
        <v>349</v>
      </c>
      <c r="D1196" s="285">
        <v>16224</v>
      </c>
    </row>
    <row r="1197" spans="1:4" ht="15" customHeight="1">
      <c r="A1197" s="282" t="s">
        <v>145</v>
      </c>
      <c r="B1197" s="283">
        <v>4240</v>
      </c>
      <c r="C1197" s="284" t="s">
        <v>393</v>
      </c>
      <c r="D1197" s="285">
        <v>7800</v>
      </c>
    </row>
    <row r="1198" spans="1:4" ht="15" customHeight="1">
      <c r="A1198" s="282" t="s">
        <v>145</v>
      </c>
      <c r="B1198" s="283">
        <v>4270</v>
      </c>
      <c r="C1198" s="284" t="s">
        <v>352</v>
      </c>
      <c r="D1198" s="285">
        <v>3106</v>
      </c>
    </row>
    <row r="1199" spans="1:4" ht="15" customHeight="1">
      <c r="A1199" s="282" t="s">
        <v>145</v>
      </c>
      <c r="B1199" s="283">
        <v>4280</v>
      </c>
      <c r="C1199" s="284" t="s">
        <v>373</v>
      </c>
      <c r="D1199" s="285">
        <v>860</v>
      </c>
    </row>
    <row r="1200" spans="1:4" ht="15" customHeight="1">
      <c r="A1200" s="282" t="s">
        <v>145</v>
      </c>
      <c r="B1200" s="283">
        <v>4300</v>
      </c>
      <c r="C1200" s="284" t="s">
        <v>353</v>
      </c>
      <c r="D1200" s="285">
        <v>829</v>
      </c>
    </row>
    <row r="1201" spans="1:4" ht="15" customHeight="1">
      <c r="A1201" s="282" t="s">
        <v>145</v>
      </c>
      <c r="B1201" s="283">
        <v>4360</v>
      </c>
      <c r="C1201" s="284" t="s">
        <v>354</v>
      </c>
      <c r="D1201" s="285">
        <v>486</v>
      </c>
    </row>
    <row r="1202" spans="1:4" ht="15" customHeight="1">
      <c r="A1202" s="282" t="s">
        <v>145</v>
      </c>
      <c r="B1202" s="283">
        <v>4410</v>
      </c>
      <c r="C1202" s="284" t="s">
        <v>357</v>
      </c>
      <c r="D1202" s="285">
        <v>1449</v>
      </c>
    </row>
    <row r="1203" spans="1:4" ht="15" customHeight="1">
      <c r="A1203" s="282" t="s">
        <v>145</v>
      </c>
      <c r="B1203" s="283">
        <v>4440</v>
      </c>
      <c r="C1203" s="284" t="s">
        <v>375</v>
      </c>
      <c r="D1203" s="285">
        <v>121070</v>
      </c>
    </row>
    <row r="1204" spans="1:4" ht="15" customHeight="1">
      <c r="A1204" s="282" t="s">
        <v>145</v>
      </c>
      <c r="B1204" s="283">
        <v>4700</v>
      </c>
      <c r="C1204" s="284" t="s">
        <v>360</v>
      </c>
      <c r="D1204" s="285">
        <v>1700</v>
      </c>
    </row>
    <row r="1205" spans="1:4" s="277" customFormat="1" ht="15" customHeight="1">
      <c r="A1205" s="278">
        <v>85410</v>
      </c>
      <c r="B1205" s="279" t="s">
        <v>145</v>
      </c>
      <c r="C1205" s="280" t="s">
        <v>321</v>
      </c>
      <c r="D1205" s="281">
        <f>SUM(D1206:D1219)</f>
        <v>1400141</v>
      </c>
    </row>
    <row r="1206" spans="1:4" ht="15" customHeight="1">
      <c r="A1206" s="282" t="s">
        <v>145</v>
      </c>
      <c r="B1206" s="283">
        <v>3020</v>
      </c>
      <c r="C1206" s="284" t="s">
        <v>371</v>
      </c>
      <c r="D1206" s="285">
        <v>2000</v>
      </c>
    </row>
    <row r="1207" spans="1:4" ht="15" customHeight="1">
      <c r="A1207" s="282" t="s">
        <v>145</v>
      </c>
      <c r="B1207" s="283">
        <v>4010</v>
      </c>
      <c r="C1207" s="284" t="s">
        <v>343</v>
      </c>
      <c r="D1207" s="285">
        <v>871639</v>
      </c>
    </row>
    <row r="1208" spans="1:4" ht="15" customHeight="1">
      <c r="A1208" s="282" t="s">
        <v>145</v>
      </c>
      <c r="B1208" s="283">
        <v>4040</v>
      </c>
      <c r="C1208" s="284" t="s">
        <v>344</v>
      </c>
      <c r="D1208" s="285">
        <v>68664</v>
      </c>
    </row>
    <row r="1209" spans="1:4" ht="15" customHeight="1">
      <c r="A1209" s="282" t="s">
        <v>145</v>
      </c>
      <c r="B1209" s="283">
        <v>4110</v>
      </c>
      <c r="C1209" s="284" t="s">
        <v>345</v>
      </c>
      <c r="D1209" s="285">
        <v>161638</v>
      </c>
    </row>
    <row r="1210" spans="1:4" ht="15" customHeight="1">
      <c r="A1210" s="282" t="s">
        <v>145</v>
      </c>
      <c r="B1210" s="283">
        <v>4120</v>
      </c>
      <c r="C1210" s="284" t="s">
        <v>346</v>
      </c>
      <c r="D1210" s="285">
        <v>19788</v>
      </c>
    </row>
    <row r="1211" spans="1:4" ht="15" customHeight="1">
      <c r="A1211" s="282" t="s">
        <v>145</v>
      </c>
      <c r="B1211" s="283">
        <v>4210</v>
      </c>
      <c r="C1211" s="284" t="s">
        <v>349</v>
      </c>
      <c r="D1211" s="285">
        <v>180000</v>
      </c>
    </row>
    <row r="1212" spans="1:4" ht="15" customHeight="1">
      <c r="A1212" s="282" t="s">
        <v>145</v>
      </c>
      <c r="B1212" s="283">
        <v>4260</v>
      </c>
      <c r="C1212" s="284" t="s">
        <v>351</v>
      </c>
      <c r="D1212" s="285">
        <v>26368</v>
      </c>
    </row>
    <row r="1213" spans="1:4" ht="15" customHeight="1">
      <c r="A1213" s="282" t="s">
        <v>145</v>
      </c>
      <c r="B1213" s="283">
        <v>4270</v>
      </c>
      <c r="C1213" s="284" t="s">
        <v>352</v>
      </c>
      <c r="D1213" s="285">
        <v>1540</v>
      </c>
    </row>
    <row r="1214" spans="1:4" ht="15" customHeight="1">
      <c r="A1214" s="282" t="s">
        <v>145</v>
      </c>
      <c r="B1214" s="283">
        <v>4280</v>
      </c>
      <c r="C1214" s="284" t="s">
        <v>373</v>
      </c>
      <c r="D1214" s="285">
        <v>400</v>
      </c>
    </row>
    <row r="1215" spans="1:4" ht="15" customHeight="1">
      <c r="A1215" s="282" t="s">
        <v>145</v>
      </c>
      <c r="B1215" s="283">
        <v>4300</v>
      </c>
      <c r="C1215" s="284" t="s">
        <v>353</v>
      </c>
      <c r="D1215" s="285">
        <v>15000</v>
      </c>
    </row>
    <row r="1216" spans="1:4" ht="15" customHeight="1">
      <c r="A1216" s="282" t="s">
        <v>145</v>
      </c>
      <c r="B1216" s="283">
        <v>4360</v>
      </c>
      <c r="C1216" s="284" t="s">
        <v>354</v>
      </c>
      <c r="D1216" s="285">
        <v>1500</v>
      </c>
    </row>
    <row r="1217" spans="1:4" ht="15" customHeight="1">
      <c r="A1217" s="282" t="s">
        <v>145</v>
      </c>
      <c r="B1217" s="283">
        <v>4440</v>
      </c>
      <c r="C1217" s="284" t="s">
        <v>375</v>
      </c>
      <c r="D1217" s="285">
        <v>38872</v>
      </c>
    </row>
    <row r="1218" spans="1:4" ht="15" customHeight="1">
      <c r="A1218" s="282" t="s">
        <v>145</v>
      </c>
      <c r="B1218" s="283">
        <v>4520</v>
      </c>
      <c r="C1218" s="284" t="s">
        <v>379</v>
      </c>
      <c r="D1218" s="285">
        <v>12232</v>
      </c>
    </row>
    <row r="1219" spans="1:4" ht="15" customHeight="1">
      <c r="A1219" s="282" t="s">
        <v>145</v>
      </c>
      <c r="B1219" s="283">
        <v>4700</v>
      </c>
      <c r="C1219" s="284" t="s">
        <v>360</v>
      </c>
      <c r="D1219" s="285">
        <v>500</v>
      </c>
    </row>
    <row r="1220" spans="1:4" s="277" customFormat="1" ht="15" customHeight="1">
      <c r="A1220" s="278">
        <v>85415</v>
      </c>
      <c r="B1220" s="279" t="s">
        <v>145</v>
      </c>
      <c r="C1220" s="280" t="s">
        <v>322</v>
      </c>
      <c r="D1220" s="281">
        <f>D1221</f>
        <v>219000</v>
      </c>
    </row>
    <row r="1221" spans="1:4" ht="30" customHeight="1">
      <c r="A1221" s="282" t="s">
        <v>145</v>
      </c>
      <c r="B1221" s="283">
        <v>2320</v>
      </c>
      <c r="C1221" s="284" t="s">
        <v>396</v>
      </c>
      <c r="D1221" s="285">
        <v>219000</v>
      </c>
    </row>
    <row r="1222" spans="1:4" s="277" customFormat="1" ht="15" customHeight="1">
      <c r="A1222" s="278">
        <v>85416</v>
      </c>
      <c r="B1222" s="279" t="s">
        <v>145</v>
      </c>
      <c r="C1222" s="280" t="s">
        <v>323</v>
      </c>
      <c r="D1222" s="281">
        <f>SUM(D1223:D1236)</f>
        <v>5842100</v>
      </c>
    </row>
    <row r="1223" spans="1:4" ht="15" customHeight="1">
      <c r="A1223" s="282" t="s">
        <v>145</v>
      </c>
      <c r="B1223" s="283">
        <v>3247</v>
      </c>
      <c r="C1223" s="284" t="s">
        <v>399</v>
      </c>
      <c r="D1223" s="285">
        <v>4525145</v>
      </c>
    </row>
    <row r="1224" spans="1:4" ht="15" customHeight="1">
      <c r="A1224" s="282" t="s">
        <v>145</v>
      </c>
      <c r="B1224" s="283">
        <v>3249</v>
      </c>
      <c r="C1224" s="284" t="s">
        <v>399</v>
      </c>
      <c r="D1224" s="285">
        <v>798555</v>
      </c>
    </row>
    <row r="1225" spans="1:4" ht="15" customHeight="1">
      <c r="A1225" s="282" t="s">
        <v>145</v>
      </c>
      <c r="B1225" s="283">
        <v>4017</v>
      </c>
      <c r="C1225" s="284" t="s">
        <v>343</v>
      </c>
      <c r="D1225" s="285">
        <v>306139</v>
      </c>
    </row>
    <row r="1226" spans="1:4" ht="15" customHeight="1">
      <c r="A1226" s="282" t="s">
        <v>145</v>
      </c>
      <c r="B1226" s="283">
        <v>4019</v>
      </c>
      <c r="C1226" s="284" t="s">
        <v>343</v>
      </c>
      <c r="D1226" s="285">
        <v>54024</v>
      </c>
    </row>
    <row r="1227" spans="1:4" ht="15" customHeight="1">
      <c r="A1227" s="282" t="s">
        <v>145</v>
      </c>
      <c r="B1227" s="283">
        <v>4117</v>
      </c>
      <c r="C1227" s="284" t="s">
        <v>345</v>
      </c>
      <c r="D1227" s="285">
        <v>52624</v>
      </c>
    </row>
    <row r="1228" spans="1:4" ht="15" customHeight="1">
      <c r="A1228" s="282" t="s">
        <v>145</v>
      </c>
      <c r="B1228" s="283">
        <v>4119</v>
      </c>
      <c r="C1228" s="284" t="s">
        <v>345</v>
      </c>
      <c r="D1228" s="285">
        <v>9287</v>
      </c>
    </row>
    <row r="1229" spans="1:4" ht="15" customHeight="1">
      <c r="A1229" s="282" t="s">
        <v>145</v>
      </c>
      <c r="B1229" s="283">
        <v>4127</v>
      </c>
      <c r="C1229" s="284" t="s">
        <v>346</v>
      </c>
      <c r="D1229" s="285">
        <v>7501</v>
      </c>
    </row>
    <row r="1230" spans="1:4" ht="15" customHeight="1">
      <c r="A1230" s="282" t="s">
        <v>145</v>
      </c>
      <c r="B1230" s="283">
        <v>4129</v>
      </c>
      <c r="C1230" s="284" t="s">
        <v>346</v>
      </c>
      <c r="D1230" s="285">
        <v>1325</v>
      </c>
    </row>
    <row r="1231" spans="1:4" ht="15" customHeight="1">
      <c r="A1231" s="282" t="s">
        <v>145</v>
      </c>
      <c r="B1231" s="283">
        <v>4217</v>
      </c>
      <c r="C1231" s="284" t="s">
        <v>349</v>
      </c>
      <c r="D1231" s="285">
        <v>6545</v>
      </c>
    </row>
    <row r="1232" spans="1:4" ht="15" customHeight="1">
      <c r="A1232" s="282" t="s">
        <v>145</v>
      </c>
      <c r="B1232" s="283">
        <v>4219</v>
      </c>
      <c r="C1232" s="284" t="s">
        <v>349</v>
      </c>
      <c r="D1232" s="285">
        <v>1155</v>
      </c>
    </row>
    <row r="1233" spans="1:4" ht="15" customHeight="1">
      <c r="A1233" s="282" t="s">
        <v>145</v>
      </c>
      <c r="B1233" s="283">
        <v>4267</v>
      </c>
      <c r="C1233" s="284" t="s">
        <v>351</v>
      </c>
      <c r="D1233" s="285">
        <v>2763</v>
      </c>
    </row>
    <row r="1234" spans="1:4" ht="15" customHeight="1">
      <c r="A1234" s="282" t="s">
        <v>145</v>
      </c>
      <c r="B1234" s="283">
        <v>4269</v>
      </c>
      <c r="C1234" s="284" t="s">
        <v>351</v>
      </c>
      <c r="D1234" s="285">
        <v>487</v>
      </c>
    </row>
    <row r="1235" spans="1:4" ht="15" customHeight="1">
      <c r="A1235" s="282" t="s">
        <v>145</v>
      </c>
      <c r="B1235" s="283">
        <v>4307</v>
      </c>
      <c r="C1235" s="284" t="s">
        <v>353</v>
      </c>
      <c r="D1235" s="285">
        <v>65067</v>
      </c>
    </row>
    <row r="1236" spans="1:4" ht="15" customHeight="1">
      <c r="A1236" s="282" t="s">
        <v>145</v>
      </c>
      <c r="B1236" s="283">
        <v>4309</v>
      </c>
      <c r="C1236" s="284" t="s">
        <v>353</v>
      </c>
      <c r="D1236" s="285">
        <v>11483</v>
      </c>
    </row>
    <row r="1237" spans="1:4" s="277" customFormat="1" ht="15" customHeight="1">
      <c r="A1237" s="278">
        <v>85446</v>
      </c>
      <c r="B1237" s="279" t="s">
        <v>145</v>
      </c>
      <c r="C1237" s="280" t="s">
        <v>114</v>
      </c>
      <c r="D1237" s="281">
        <f>D1238</f>
        <v>100000</v>
      </c>
    </row>
    <row r="1238" spans="1:4" ht="15.75" customHeight="1">
      <c r="A1238" s="282" t="s">
        <v>145</v>
      </c>
      <c r="B1238" s="283">
        <v>4300</v>
      </c>
      <c r="C1238" s="284" t="s">
        <v>353</v>
      </c>
      <c r="D1238" s="285">
        <v>100000</v>
      </c>
    </row>
    <row r="1239" spans="1:4" s="277" customFormat="1" ht="15" customHeight="1">
      <c r="A1239" s="278">
        <v>85495</v>
      </c>
      <c r="B1239" s="279" t="s">
        <v>145</v>
      </c>
      <c r="C1239" s="280" t="s">
        <v>130</v>
      </c>
      <c r="D1239" s="281">
        <f>SUM(D1240:D1245)</f>
        <v>430832</v>
      </c>
    </row>
    <row r="1240" spans="1:4" ht="27.75" customHeight="1">
      <c r="A1240" s="282" t="s">
        <v>145</v>
      </c>
      <c r="B1240" s="283">
        <v>2820</v>
      </c>
      <c r="C1240" s="284" t="s">
        <v>397</v>
      </c>
      <c r="D1240" s="285">
        <v>100000</v>
      </c>
    </row>
    <row r="1241" spans="1:4" ht="15" customHeight="1">
      <c r="A1241" s="282" t="s">
        <v>145</v>
      </c>
      <c r="B1241" s="283">
        <v>3020</v>
      </c>
      <c r="C1241" s="284" t="s">
        <v>371</v>
      </c>
      <c r="D1241" s="285">
        <v>40000</v>
      </c>
    </row>
    <row r="1242" spans="1:4" ht="15" customHeight="1">
      <c r="A1242" s="282" t="s">
        <v>145</v>
      </c>
      <c r="B1242" s="283">
        <v>4190</v>
      </c>
      <c r="C1242" s="284" t="s">
        <v>348</v>
      </c>
      <c r="D1242" s="285">
        <v>10000</v>
      </c>
    </row>
    <row r="1243" spans="1:4" ht="15" customHeight="1">
      <c r="A1243" s="282" t="s">
        <v>145</v>
      </c>
      <c r="B1243" s="283">
        <v>4210</v>
      </c>
      <c r="C1243" s="284" t="s">
        <v>349</v>
      </c>
      <c r="D1243" s="285">
        <v>10000</v>
      </c>
    </row>
    <row r="1244" spans="1:4" ht="15" customHeight="1">
      <c r="A1244" s="282" t="s">
        <v>145</v>
      </c>
      <c r="B1244" s="283">
        <v>4300</v>
      </c>
      <c r="C1244" s="284" t="s">
        <v>353</v>
      </c>
      <c r="D1244" s="285">
        <v>80000</v>
      </c>
    </row>
    <row r="1245" spans="1:4" ht="15" customHeight="1">
      <c r="A1245" s="282" t="s">
        <v>145</v>
      </c>
      <c r="B1245" s="283">
        <v>4440</v>
      </c>
      <c r="C1245" s="284" t="s">
        <v>375</v>
      </c>
      <c r="D1245" s="285">
        <v>190832</v>
      </c>
    </row>
    <row r="1246" spans="1:4" s="277" customFormat="1" ht="15" customHeight="1">
      <c r="A1246" s="273" t="s">
        <v>163</v>
      </c>
      <c r="B1246" s="274" t="s">
        <v>145</v>
      </c>
      <c r="C1246" s="275" t="s">
        <v>164</v>
      </c>
      <c r="D1246" s="276">
        <v>1761000</v>
      </c>
    </row>
    <row r="1247" spans="1:4" s="277" customFormat="1" ht="15" customHeight="1">
      <c r="A1247" s="278">
        <v>85509</v>
      </c>
      <c r="B1247" s="279" t="s">
        <v>145</v>
      </c>
      <c r="C1247" s="280" t="s">
        <v>170</v>
      </c>
      <c r="D1247" s="281">
        <v>1761000</v>
      </c>
    </row>
    <row r="1248" spans="1:4" ht="41.25" customHeight="1">
      <c r="A1248" s="282" t="s">
        <v>145</v>
      </c>
      <c r="B1248" s="283">
        <v>2360</v>
      </c>
      <c r="C1248" s="284" t="s">
        <v>383</v>
      </c>
      <c r="D1248" s="285">
        <v>139430</v>
      </c>
    </row>
    <row r="1249" spans="1:4" ht="15" customHeight="1">
      <c r="A1249" s="286" t="s">
        <v>145</v>
      </c>
      <c r="B1249" s="287">
        <v>3020</v>
      </c>
      <c r="C1249" s="288" t="s">
        <v>371</v>
      </c>
      <c r="D1249" s="289">
        <v>1000</v>
      </c>
    </row>
    <row r="1250" spans="1:4" ht="15" customHeight="1">
      <c r="A1250" s="290" t="s">
        <v>145</v>
      </c>
      <c r="B1250" s="291">
        <v>4010</v>
      </c>
      <c r="C1250" s="292" t="s">
        <v>343</v>
      </c>
      <c r="D1250" s="293">
        <v>1099281</v>
      </c>
    </row>
    <row r="1251" spans="1:4" ht="15" customHeight="1">
      <c r="A1251" s="282" t="s">
        <v>145</v>
      </c>
      <c r="B1251" s="283">
        <v>4040</v>
      </c>
      <c r="C1251" s="284" t="s">
        <v>344</v>
      </c>
      <c r="D1251" s="285">
        <v>130000</v>
      </c>
    </row>
    <row r="1252" spans="1:4" ht="15" customHeight="1">
      <c r="A1252" s="282" t="s">
        <v>145</v>
      </c>
      <c r="B1252" s="283">
        <v>4110</v>
      </c>
      <c r="C1252" s="284" t="s">
        <v>345</v>
      </c>
      <c r="D1252" s="285">
        <v>185000</v>
      </c>
    </row>
    <row r="1253" spans="1:4" ht="15" customHeight="1">
      <c r="A1253" s="282" t="s">
        <v>145</v>
      </c>
      <c r="B1253" s="283">
        <v>4120</v>
      </c>
      <c r="C1253" s="284" t="s">
        <v>346</v>
      </c>
      <c r="D1253" s="285">
        <v>16000</v>
      </c>
    </row>
    <row r="1254" spans="1:4" ht="15" customHeight="1">
      <c r="A1254" s="282" t="s">
        <v>145</v>
      </c>
      <c r="B1254" s="283">
        <v>4210</v>
      </c>
      <c r="C1254" s="284" t="s">
        <v>349</v>
      </c>
      <c r="D1254" s="285">
        <v>30000</v>
      </c>
    </row>
    <row r="1255" spans="1:4" ht="15" customHeight="1">
      <c r="A1255" s="282" t="s">
        <v>145</v>
      </c>
      <c r="B1255" s="283">
        <v>4260</v>
      </c>
      <c r="C1255" s="284" t="s">
        <v>351</v>
      </c>
      <c r="D1255" s="285">
        <v>35000</v>
      </c>
    </row>
    <row r="1256" spans="1:4" ht="15" customHeight="1">
      <c r="A1256" s="282" t="s">
        <v>145</v>
      </c>
      <c r="B1256" s="283">
        <v>4270</v>
      </c>
      <c r="C1256" s="284" t="s">
        <v>352</v>
      </c>
      <c r="D1256" s="285">
        <v>5000</v>
      </c>
    </row>
    <row r="1257" spans="1:4" ht="15" customHeight="1">
      <c r="A1257" s="282" t="s">
        <v>145</v>
      </c>
      <c r="B1257" s="283">
        <v>4280</v>
      </c>
      <c r="C1257" s="284" t="s">
        <v>373</v>
      </c>
      <c r="D1257" s="285">
        <v>1000</v>
      </c>
    </row>
    <row r="1258" spans="1:4" ht="15" customHeight="1">
      <c r="A1258" s="282" t="s">
        <v>145</v>
      </c>
      <c r="B1258" s="283">
        <v>4300</v>
      </c>
      <c r="C1258" s="284" t="s">
        <v>353</v>
      </c>
      <c r="D1258" s="285">
        <v>50000</v>
      </c>
    </row>
    <row r="1259" spans="1:4" ht="15" customHeight="1">
      <c r="A1259" s="282" t="s">
        <v>145</v>
      </c>
      <c r="B1259" s="283">
        <v>4360</v>
      </c>
      <c r="C1259" s="284" t="s">
        <v>354</v>
      </c>
      <c r="D1259" s="285">
        <v>9500</v>
      </c>
    </row>
    <row r="1260" spans="1:4" ht="15" customHeight="1">
      <c r="A1260" s="282" t="s">
        <v>145</v>
      </c>
      <c r="B1260" s="283">
        <v>4400</v>
      </c>
      <c r="C1260" s="284" t="s">
        <v>356</v>
      </c>
      <c r="D1260" s="285">
        <v>5328</v>
      </c>
    </row>
    <row r="1261" spans="1:4" ht="15" customHeight="1">
      <c r="A1261" s="282" t="s">
        <v>145</v>
      </c>
      <c r="B1261" s="283">
        <v>4410</v>
      </c>
      <c r="C1261" s="284" t="s">
        <v>357</v>
      </c>
      <c r="D1261" s="285">
        <v>15000</v>
      </c>
    </row>
    <row r="1262" spans="1:4" ht="15" customHeight="1">
      <c r="A1262" s="282" t="s">
        <v>145</v>
      </c>
      <c r="B1262" s="283">
        <v>4430</v>
      </c>
      <c r="C1262" s="284" t="s">
        <v>359</v>
      </c>
      <c r="D1262" s="285">
        <v>144</v>
      </c>
    </row>
    <row r="1263" spans="1:4" ht="15" customHeight="1">
      <c r="A1263" s="282" t="s">
        <v>145</v>
      </c>
      <c r="B1263" s="283">
        <v>4440</v>
      </c>
      <c r="C1263" s="284" t="s">
        <v>375</v>
      </c>
      <c r="D1263" s="285">
        <v>30777</v>
      </c>
    </row>
    <row r="1264" spans="1:4" ht="15" customHeight="1">
      <c r="A1264" s="282" t="s">
        <v>145</v>
      </c>
      <c r="B1264" s="283">
        <v>4480</v>
      </c>
      <c r="C1264" s="284" t="s">
        <v>376</v>
      </c>
      <c r="D1264" s="285">
        <v>3540</v>
      </c>
    </row>
    <row r="1265" spans="1:4" ht="15" customHeight="1">
      <c r="A1265" s="282" t="s">
        <v>145</v>
      </c>
      <c r="B1265" s="283">
        <v>4700</v>
      </c>
      <c r="C1265" s="284" t="s">
        <v>360</v>
      </c>
      <c r="D1265" s="285">
        <v>5000</v>
      </c>
    </row>
    <row r="1266" spans="1:4" s="277" customFormat="1" ht="15" customHeight="1">
      <c r="A1266" s="273" t="s">
        <v>100</v>
      </c>
      <c r="B1266" s="274" t="s">
        <v>145</v>
      </c>
      <c r="C1266" s="275" t="s">
        <v>101</v>
      </c>
      <c r="D1266" s="276">
        <f>D1267+D1270+D1272+D1281+D1285+D1288+D1300</f>
        <v>19464671</v>
      </c>
    </row>
    <row r="1267" spans="1:4" s="277" customFormat="1" ht="15" customHeight="1">
      <c r="A1267" s="278">
        <v>90005</v>
      </c>
      <c r="B1267" s="279" t="s">
        <v>145</v>
      </c>
      <c r="C1267" s="280" t="s">
        <v>123</v>
      </c>
      <c r="D1267" s="281">
        <f>SUM(D1268:D1269)</f>
        <v>147000</v>
      </c>
    </row>
    <row r="1268" spans="1:4" ht="15" customHeight="1">
      <c r="A1268" s="282" t="s">
        <v>145</v>
      </c>
      <c r="B1268" s="283">
        <v>4300</v>
      </c>
      <c r="C1268" s="284" t="s">
        <v>353</v>
      </c>
      <c r="D1268" s="285">
        <v>137000</v>
      </c>
    </row>
    <row r="1269" spans="1:4" ht="26.25" customHeight="1">
      <c r="A1269" s="282" t="s">
        <v>145</v>
      </c>
      <c r="B1269" s="283">
        <v>6300</v>
      </c>
      <c r="C1269" s="284" t="s">
        <v>340</v>
      </c>
      <c r="D1269" s="285">
        <v>10000</v>
      </c>
    </row>
    <row r="1270" spans="1:4" s="277" customFormat="1" ht="15" customHeight="1">
      <c r="A1270" s="278">
        <v>90007</v>
      </c>
      <c r="B1270" s="279" t="s">
        <v>145</v>
      </c>
      <c r="C1270" s="280" t="s">
        <v>124</v>
      </c>
      <c r="D1270" s="281">
        <f>D1271</f>
        <v>59000</v>
      </c>
    </row>
    <row r="1271" spans="1:4" ht="15" customHeight="1">
      <c r="A1271" s="282" t="s">
        <v>145</v>
      </c>
      <c r="B1271" s="283">
        <v>4300</v>
      </c>
      <c r="C1271" s="284" t="s">
        <v>353</v>
      </c>
      <c r="D1271" s="285">
        <v>59000</v>
      </c>
    </row>
    <row r="1272" spans="1:4" s="277" customFormat="1" ht="15" customHeight="1">
      <c r="A1272" s="278">
        <v>90019</v>
      </c>
      <c r="B1272" s="279" t="s">
        <v>145</v>
      </c>
      <c r="C1272" s="280" t="s">
        <v>198</v>
      </c>
      <c r="D1272" s="281">
        <f>SUM(D1273:D1280)</f>
        <v>869873</v>
      </c>
    </row>
    <row r="1273" spans="1:4" ht="15" customHeight="1">
      <c r="A1273" s="282" t="s">
        <v>145</v>
      </c>
      <c r="B1273" s="283">
        <v>4010</v>
      </c>
      <c r="C1273" s="284" t="s">
        <v>343</v>
      </c>
      <c r="D1273" s="285">
        <v>451000</v>
      </c>
    </row>
    <row r="1274" spans="1:4" ht="15" customHeight="1">
      <c r="A1274" s="282" t="s">
        <v>145</v>
      </c>
      <c r="B1274" s="283">
        <v>4040</v>
      </c>
      <c r="C1274" s="284" t="s">
        <v>344</v>
      </c>
      <c r="D1274" s="285">
        <v>90000</v>
      </c>
    </row>
    <row r="1275" spans="1:4" ht="15" customHeight="1">
      <c r="A1275" s="282" t="s">
        <v>145</v>
      </c>
      <c r="B1275" s="283">
        <v>4110</v>
      </c>
      <c r="C1275" s="284" t="s">
        <v>345</v>
      </c>
      <c r="D1275" s="285">
        <v>92998</v>
      </c>
    </row>
    <row r="1276" spans="1:4" ht="15" customHeight="1">
      <c r="A1276" s="282" t="s">
        <v>145</v>
      </c>
      <c r="B1276" s="283">
        <v>4120</v>
      </c>
      <c r="C1276" s="284" t="s">
        <v>346</v>
      </c>
      <c r="D1276" s="285">
        <v>13255</v>
      </c>
    </row>
    <row r="1277" spans="1:4" ht="15" customHeight="1">
      <c r="A1277" s="282" t="s">
        <v>145</v>
      </c>
      <c r="B1277" s="283">
        <v>4210</v>
      </c>
      <c r="C1277" s="284" t="s">
        <v>349</v>
      </c>
      <c r="D1277" s="285">
        <v>15000</v>
      </c>
    </row>
    <row r="1278" spans="1:4" ht="15" customHeight="1">
      <c r="A1278" s="282" t="s">
        <v>145</v>
      </c>
      <c r="B1278" s="283">
        <v>4300</v>
      </c>
      <c r="C1278" s="284" t="s">
        <v>353</v>
      </c>
      <c r="D1278" s="285">
        <v>194120</v>
      </c>
    </row>
    <row r="1279" spans="1:4" ht="15" customHeight="1">
      <c r="A1279" s="282" t="s">
        <v>145</v>
      </c>
      <c r="B1279" s="283">
        <v>4410</v>
      </c>
      <c r="C1279" s="284" t="s">
        <v>357</v>
      </c>
      <c r="D1279" s="285">
        <v>2500</v>
      </c>
    </row>
    <row r="1280" spans="1:4" ht="15" customHeight="1">
      <c r="A1280" s="282" t="s">
        <v>145</v>
      </c>
      <c r="B1280" s="283">
        <v>4700</v>
      </c>
      <c r="C1280" s="284" t="s">
        <v>360</v>
      </c>
      <c r="D1280" s="285">
        <v>11000</v>
      </c>
    </row>
    <row r="1281" spans="1:4" s="277" customFormat="1" ht="15" customHeight="1">
      <c r="A1281" s="278">
        <v>90020</v>
      </c>
      <c r="B1281" s="279" t="s">
        <v>145</v>
      </c>
      <c r="C1281" s="280" t="s">
        <v>125</v>
      </c>
      <c r="D1281" s="281">
        <f>SUM(D1282:D1284)</f>
        <v>6200</v>
      </c>
    </row>
    <row r="1282" spans="1:4" ht="15" customHeight="1">
      <c r="A1282" s="282" t="s">
        <v>145</v>
      </c>
      <c r="B1282" s="283">
        <v>4210</v>
      </c>
      <c r="C1282" s="284" t="s">
        <v>349</v>
      </c>
      <c r="D1282" s="285">
        <v>1645</v>
      </c>
    </row>
    <row r="1283" spans="1:4" ht="15" customHeight="1">
      <c r="A1283" s="282" t="s">
        <v>145</v>
      </c>
      <c r="B1283" s="283">
        <v>4300</v>
      </c>
      <c r="C1283" s="284" t="s">
        <v>353</v>
      </c>
      <c r="D1283" s="285">
        <v>2555</v>
      </c>
    </row>
    <row r="1284" spans="1:4" ht="15" customHeight="1">
      <c r="A1284" s="282" t="s">
        <v>145</v>
      </c>
      <c r="B1284" s="283">
        <v>4700</v>
      </c>
      <c r="C1284" s="284" t="s">
        <v>360</v>
      </c>
      <c r="D1284" s="285">
        <v>2000</v>
      </c>
    </row>
    <row r="1285" spans="1:4" s="277" customFormat="1" ht="15.75" customHeight="1">
      <c r="A1285" s="278">
        <v>90024</v>
      </c>
      <c r="B1285" s="279" t="s">
        <v>145</v>
      </c>
      <c r="C1285" s="280" t="s">
        <v>147</v>
      </c>
      <c r="D1285" s="281">
        <f>SUM(D1286:D1287)</f>
        <v>2000</v>
      </c>
    </row>
    <row r="1286" spans="1:4" ht="15" customHeight="1">
      <c r="A1286" s="282" t="s">
        <v>145</v>
      </c>
      <c r="B1286" s="283">
        <v>4210</v>
      </c>
      <c r="C1286" s="284" t="s">
        <v>349</v>
      </c>
      <c r="D1286" s="285">
        <v>1000</v>
      </c>
    </row>
    <row r="1287" spans="1:4" ht="15.75" customHeight="1">
      <c r="A1287" s="282" t="s">
        <v>145</v>
      </c>
      <c r="B1287" s="283">
        <v>4300</v>
      </c>
      <c r="C1287" s="284" t="s">
        <v>353</v>
      </c>
      <c r="D1287" s="285">
        <v>1000</v>
      </c>
    </row>
    <row r="1288" spans="1:4" s="277" customFormat="1" ht="15" customHeight="1">
      <c r="A1288" s="278">
        <v>90026</v>
      </c>
      <c r="B1288" s="279" t="s">
        <v>145</v>
      </c>
      <c r="C1288" s="280" t="s">
        <v>212</v>
      </c>
      <c r="D1288" s="281">
        <f>SUM(D1289:D1299)</f>
        <v>5490458</v>
      </c>
    </row>
    <row r="1289" spans="1:4" ht="15" customHeight="1">
      <c r="A1289" s="282" t="s">
        <v>145</v>
      </c>
      <c r="B1289" s="283">
        <v>4017</v>
      </c>
      <c r="C1289" s="284" t="s">
        <v>343</v>
      </c>
      <c r="D1289" s="285">
        <v>485200</v>
      </c>
    </row>
    <row r="1290" spans="1:4" ht="15" customHeight="1">
      <c r="A1290" s="282" t="s">
        <v>145</v>
      </c>
      <c r="B1290" s="283">
        <v>4047</v>
      </c>
      <c r="C1290" s="284" t="s">
        <v>344</v>
      </c>
      <c r="D1290" s="285">
        <v>8000</v>
      </c>
    </row>
    <row r="1291" spans="1:4" ht="15" customHeight="1">
      <c r="A1291" s="282" t="s">
        <v>145</v>
      </c>
      <c r="B1291" s="283">
        <v>4117</v>
      </c>
      <c r="C1291" s="284" t="s">
        <v>345</v>
      </c>
      <c r="D1291" s="285">
        <v>92300</v>
      </c>
    </row>
    <row r="1292" spans="1:4" ht="15" customHeight="1">
      <c r="A1292" s="282" t="s">
        <v>145</v>
      </c>
      <c r="B1292" s="283">
        <v>4127</v>
      </c>
      <c r="C1292" s="284" t="s">
        <v>346</v>
      </c>
      <c r="D1292" s="285">
        <v>12167</v>
      </c>
    </row>
    <row r="1293" spans="1:4" ht="15" customHeight="1">
      <c r="A1293" s="282" t="s">
        <v>145</v>
      </c>
      <c r="B1293" s="283">
        <v>4177</v>
      </c>
      <c r="C1293" s="284" t="s">
        <v>347</v>
      </c>
      <c r="D1293" s="285">
        <v>42500</v>
      </c>
    </row>
    <row r="1294" spans="1:4" ht="15" customHeight="1">
      <c r="A1294" s="282" t="s">
        <v>145</v>
      </c>
      <c r="B1294" s="283">
        <v>4210</v>
      </c>
      <c r="C1294" s="284" t="s">
        <v>349</v>
      </c>
      <c r="D1294" s="285">
        <v>100</v>
      </c>
    </row>
    <row r="1295" spans="1:4" ht="15" customHeight="1">
      <c r="A1295" s="282" t="s">
        <v>145</v>
      </c>
      <c r="B1295" s="283">
        <v>4217</v>
      </c>
      <c r="C1295" s="284" t="s">
        <v>349</v>
      </c>
      <c r="D1295" s="285">
        <v>90300</v>
      </c>
    </row>
    <row r="1296" spans="1:4" ht="15" customHeight="1">
      <c r="A1296" s="282" t="s">
        <v>145</v>
      </c>
      <c r="B1296" s="283">
        <v>4307</v>
      </c>
      <c r="C1296" s="284" t="s">
        <v>353</v>
      </c>
      <c r="D1296" s="285">
        <v>798350</v>
      </c>
    </row>
    <row r="1297" spans="1:4" ht="15" customHeight="1">
      <c r="A1297" s="282" t="s">
        <v>145</v>
      </c>
      <c r="B1297" s="283">
        <v>4417</v>
      </c>
      <c r="C1297" s="284" t="s">
        <v>357</v>
      </c>
      <c r="D1297" s="285">
        <v>10000</v>
      </c>
    </row>
    <row r="1298" spans="1:4" ht="15" customHeight="1">
      <c r="A1298" s="282" t="s">
        <v>145</v>
      </c>
      <c r="B1298" s="283">
        <v>4707</v>
      </c>
      <c r="C1298" s="284" t="s">
        <v>360</v>
      </c>
      <c r="D1298" s="285">
        <v>10000</v>
      </c>
    </row>
    <row r="1299" spans="1:4" ht="27.75" customHeight="1">
      <c r="A1299" s="282" t="s">
        <v>145</v>
      </c>
      <c r="B1299" s="283">
        <v>6617</v>
      </c>
      <c r="C1299" s="284" t="s">
        <v>363</v>
      </c>
      <c r="D1299" s="285">
        <v>3941541</v>
      </c>
    </row>
    <row r="1300" spans="1:4" s="277" customFormat="1" ht="16.5" customHeight="1">
      <c r="A1300" s="278">
        <v>90095</v>
      </c>
      <c r="B1300" s="279" t="s">
        <v>145</v>
      </c>
      <c r="C1300" s="280" t="s">
        <v>130</v>
      </c>
      <c r="D1300" s="281">
        <f>SUM(D1301:D1362)</f>
        <v>12890140</v>
      </c>
    </row>
    <row r="1301" spans="1:4" ht="27.75" customHeight="1">
      <c r="A1301" s="282" t="s">
        <v>145</v>
      </c>
      <c r="B1301" s="283">
        <v>2317</v>
      </c>
      <c r="C1301" s="284" t="s">
        <v>364</v>
      </c>
      <c r="D1301" s="285">
        <v>21938</v>
      </c>
    </row>
    <row r="1302" spans="1:4" ht="27.75" customHeight="1">
      <c r="A1302" s="282" t="s">
        <v>145</v>
      </c>
      <c r="B1302" s="283">
        <v>2319</v>
      </c>
      <c r="C1302" s="284" t="s">
        <v>364</v>
      </c>
      <c r="D1302" s="285">
        <v>26812</v>
      </c>
    </row>
    <row r="1303" spans="1:4" ht="27.75" customHeight="1">
      <c r="A1303" s="286" t="s">
        <v>145</v>
      </c>
      <c r="B1303" s="287">
        <v>2817</v>
      </c>
      <c r="C1303" s="288" t="s">
        <v>400</v>
      </c>
      <c r="D1303" s="289">
        <v>2925</v>
      </c>
    </row>
    <row r="1304" spans="1:4" ht="27.75" customHeight="1">
      <c r="A1304" s="290" t="s">
        <v>145</v>
      </c>
      <c r="B1304" s="291">
        <v>2819</v>
      </c>
      <c r="C1304" s="292" t="s">
        <v>400</v>
      </c>
      <c r="D1304" s="293">
        <v>3575</v>
      </c>
    </row>
    <row r="1305" spans="1:4" ht="27.75" customHeight="1">
      <c r="A1305" s="282" t="s">
        <v>145</v>
      </c>
      <c r="B1305" s="283">
        <v>2827</v>
      </c>
      <c r="C1305" s="284" t="s">
        <v>397</v>
      </c>
      <c r="D1305" s="285">
        <v>2925</v>
      </c>
    </row>
    <row r="1306" spans="1:4" ht="27.75" customHeight="1">
      <c r="A1306" s="282" t="s">
        <v>145</v>
      </c>
      <c r="B1306" s="283">
        <v>2829</v>
      </c>
      <c r="C1306" s="284" t="s">
        <v>397</v>
      </c>
      <c r="D1306" s="285">
        <v>3575</v>
      </c>
    </row>
    <row r="1307" spans="1:4" ht="27.75" customHeight="1">
      <c r="A1307" s="282" t="s">
        <v>145</v>
      </c>
      <c r="B1307" s="283">
        <v>2837</v>
      </c>
      <c r="C1307" s="284" t="s">
        <v>339</v>
      </c>
      <c r="D1307" s="285">
        <v>1463</v>
      </c>
    </row>
    <row r="1308" spans="1:4" ht="27.75" customHeight="1">
      <c r="A1308" s="282" t="s">
        <v>145</v>
      </c>
      <c r="B1308" s="283">
        <v>2839</v>
      </c>
      <c r="C1308" s="284" t="s">
        <v>339</v>
      </c>
      <c r="D1308" s="285">
        <v>1787</v>
      </c>
    </row>
    <row r="1309" spans="1:4" ht="15" customHeight="1">
      <c r="A1309" s="282" t="s">
        <v>145</v>
      </c>
      <c r="B1309" s="283">
        <v>4010</v>
      </c>
      <c r="C1309" s="284" t="s">
        <v>343</v>
      </c>
      <c r="D1309" s="285">
        <v>463704</v>
      </c>
    </row>
    <row r="1310" spans="1:4" ht="15" customHeight="1">
      <c r="A1310" s="282" t="s">
        <v>145</v>
      </c>
      <c r="B1310" s="283">
        <v>4017</v>
      </c>
      <c r="C1310" s="284" t="s">
        <v>343</v>
      </c>
      <c r="D1310" s="285">
        <v>196650</v>
      </c>
    </row>
    <row r="1311" spans="1:4" ht="15" customHeight="1">
      <c r="A1311" s="282" t="s">
        <v>145</v>
      </c>
      <c r="B1311" s="283">
        <v>4018</v>
      </c>
      <c r="C1311" s="284" t="s">
        <v>343</v>
      </c>
      <c r="D1311" s="285">
        <v>91322</v>
      </c>
    </row>
    <row r="1312" spans="1:4" ht="15" customHeight="1">
      <c r="A1312" s="282" t="s">
        <v>145</v>
      </c>
      <c r="B1312" s="283">
        <v>4019</v>
      </c>
      <c r="C1312" s="284" t="s">
        <v>343</v>
      </c>
      <c r="D1312" s="285">
        <v>256466</v>
      </c>
    </row>
    <row r="1313" spans="1:4" ht="15" customHeight="1">
      <c r="A1313" s="282" t="s">
        <v>145</v>
      </c>
      <c r="B1313" s="283">
        <v>4040</v>
      </c>
      <c r="C1313" s="284" t="s">
        <v>344</v>
      </c>
      <c r="D1313" s="285">
        <v>36442</v>
      </c>
    </row>
    <row r="1314" spans="1:4" ht="15" customHeight="1">
      <c r="A1314" s="282" t="s">
        <v>145</v>
      </c>
      <c r="B1314" s="283">
        <v>4047</v>
      </c>
      <c r="C1314" s="284" t="s">
        <v>344</v>
      </c>
      <c r="D1314" s="285">
        <v>18900</v>
      </c>
    </row>
    <row r="1315" spans="1:4" ht="15" customHeight="1">
      <c r="A1315" s="282" t="s">
        <v>145</v>
      </c>
      <c r="B1315" s="283">
        <v>4048</v>
      </c>
      <c r="C1315" s="284" t="s">
        <v>344</v>
      </c>
      <c r="D1315" s="285">
        <v>4502</v>
      </c>
    </row>
    <row r="1316" spans="1:4" ht="15" customHeight="1">
      <c r="A1316" s="282" t="s">
        <v>145</v>
      </c>
      <c r="B1316" s="283">
        <v>4049</v>
      </c>
      <c r="C1316" s="284" t="s">
        <v>344</v>
      </c>
      <c r="D1316" s="285">
        <v>23895</v>
      </c>
    </row>
    <row r="1317" spans="1:4" ht="15" customHeight="1">
      <c r="A1317" s="282" t="s">
        <v>145</v>
      </c>
      <c r="B1317" s="283">
        <v>4110</v>
      </c>
      <c r="C1317" s="284" t="s">
        <v>345</v>
      </c>
      <c r="D1317" s="285">
        <v>95059</v>
      </c>
    </row>
    <row r="1318" spans="1:4" ht="15" customHeight="1">
      <c r="A1318" s="282" t="s">
        <v>145</v>
      </c>
      <c r="B1318" s="283">
        <v>4117</v>
      </c>
      <c r="C1318" s="284" t="s">
        <v>345</v>
      </c>
      <c r="D1318" s="285">
        <v>46102</v>
      </c>
    </row>
    <row r="1319" spans="1:4" ht="15" customHeight="1">
      <c r="A1319" s="282" t="s">
        <v>145</v>
      </c>
      <c r="B1319" s="283">
        <v>4118</v>
      </c>
      <c r="C1319" s="284" t="s">
        <v>345</v>
      </c>
      <c r="D1319" s="285">
        <v>16472</v>
      </c>
    </row>
    <row r="1320" spans="1:4" ht="15" customHeight="1">
      <c r="A1320" s="282" t="s">
        <v>145</v>
      </c>
      <c r="B1320" s="283">
        <v>4119</v>
      </c>
      <c r="C1320" s="284" t="s">
        <v>345</v>
      </c>
      <c r="D1320" s="285">
        <v>59255</v>
      </c>
    </row>
    <row r="1321" spans="1:4" ht="15" customHeight="1">
      <c r="A1321" s="282" t="s">
        <v>145</v>
      </c>
      <c r="B1321" s="283">
        <v>4120</v>
      </c>
      <c r="C1321" s="284" t="s">
        <v>346</v>
      </c>
      <c r="D1321" s="285">
        <v>12123</v>
      </c>
    </row>
    <row r="1322" spans="1:4" ht="15" customHeight="1">
      <c r="A1322" s="282" t="s">
        <v>145</v>
      </c>
      <c r="B1322" s="283">
        <v>4127</v>
      </c>
      <c r="C1322" s="284" t="s">
        <v>346</v>
      </c>
      <c r="D1322" s="285">
        <v>5715</v>
      </c>
    </row>
    <row r="1323" spans="1:4" ht="15" customHeight="1">
      <c r="A1323" s="282" t="s">
        <v>145</v>
      </c>
      <c r="B1323" s="283">
        <v>4128</v>
      </c>
      <c r="C1323" s="284" t="s">
        <v>346</v>
      </c>
      <c r="D1323" s="285">
        <v>2348</v>
      </c>
    </row>
    <row r="1324" spans="1:4" ht="15" customHeight="1">
      <c r="A1324" s="282" t="s">
        <v>145</v>
      </c>
      <c r="B1324" s="283">
        <v>4129</v>
      </c>
      <c r="C1324" s="284" t="s">
        <v>346</v>
      </c>
      <c r="D1324" s="285">
        <v>7399</v>
      </c>
    </row>
    <row r="1325" spans="1:4" ht="15" customHeight="1">
      <c r="A1325" s="282" t="s">
        <v>145</v>
      </c>
      <c r="B1325" s="283">
        <v>4170</v>
      </c>
      <c r="C1325" s="284" t="s">
        <v>347</v>
      </c>
      <c r="D1325" s="285">
        <v>66000</v>
      </c>
    </row>
    <row r="1326" spans="1:4" ht="15" customHeight="1">
      <c r="A1326" s="282" t="s">
        <v>145</v>
      </c>
      <c r="B1326" s="283">
        <v>4177</v>
      </c>
      <c r="C1326" s="284" t="s">
        <v>347</v>
      </c>
      <c r="D1326" s="285">
        <v>11520</v>
      </c>
    </row>
    <row r="1327" spans="1:4" ht="15" customHeight="1">
      <c r="A1327" s="282" t="s">
        <v>145</v>
      </c>
      <c r="B1327" s="283">
        <v>4178</v>
      </c>
      <c r="C1327" s="284" t="s">
        <v>347</v>
      </c>
      <c r="D1327" s="285">
        <v>25500</v>
      </c>
    </row>
    <row r="1328" spans="1:4" ht="15" customHeight="1">
      <c r="A1328" s="282" t="s">
        <v>145</v>
      </c>
      <c r="B1328" s="283">
        <v>4179</v>
      </c>
      <c r="C1328" s="284" t="s">
        <v>347</v>
      </c>
      <c r="D1328" s="285">
        <v>18580</v>
      </c>
    </row>
    <row r="1329" spans="1:4" ht="15" customHeight="1">
      <c r="A1329" s="282" t="s">
        <v>145</v>
      </c>
      <c r="B1329" s="283">
        <v>4190</v>
      </c>
      <c r="C1329" s="284" t="s">
        <v>348</v>
      </c>
      <c r="D1329" s="285">
        <v>10000</v>
      </c>
    </row>
    <row r="1330" spans="1:4" ht="15" customHeight="1">
      <c r="A1330" s="282" t="s">
        <v>145</v>
      </c>
      <c r="B1330" s="283">
        <v>4197</v>
      </c>
      <c r="C1330" s="284" t="s">
        <v>348</v>
      </c>
      <c r="D1330" s="285">
        <v>9000</v>
      </c>
    </row>
    <row r="1331" spans="1:4" ht="15" customHeight="1">
      <c r="A1331" s="282" t="s">
        <v>145</v>
      </c>
      <c r="B1331" s="283">
        <v>4199</v>
      </c>
      <c r="C1331" s="284" t="s">
        <v>348</v>
      </c>
      <c r="D1331" s="285">
        <v>11000</v>
      </c>
    </row>
    <row r="1332" spans="1:4" ht="15" customHeight="1">
      <c r="A1332" s="282" t="s">
        <v>145</v>
      </c>
      <c r="B1332" s="283">
        <v>4210</v>
      </c>
      <c r="C1332" s="284" t="s">
        <v>349</v>
      </c>
      <c r="D1332" s="285">
        <v>10350</v>
      </c>
    </row>
    <row r="1333" spans="1:4" ht="15" customHeight="1">
      <c r="A1333" s="282" t="s">
        <v>145</v>
      </c>
      <c r="B1333" s="283">
        <v>4217</v>
      </c>
      <c r="C1333" s="284" t="s">
        <v>349</v>
      </c>
      <c r="D1333" s="285">
        <v>2475</v>
      </c>
    </row>
    <row r="1334" spans="1:4" ht="15" customHeight="1">
      <c r="A1334" s="282" t="s">
        <v>145</v>
      </c>
      <c r="B1334" s="283">
        <v>4218</v>
      </c>
      <c r="C1334" s="284" t="s">
        <v>349</v>
      </c>
      <c r="D1334" s="285">
        <v>22192</v>
      </c>
    </row>
    <row r="1335" spans="1:4" ht="15" customHeight="1">
      <c r="A1335" s="282" t="s">
        <v>145</v>
      </c>
      <c r="B1335" s="283">
        <v>4219</v>
      </c>
      <c r="C1335" s="284" t="s">
        <v>349</v>
      </c>
      <c r="D1335" s="285">
        <v>6941</v>
      </c>
    </row>
    <row r="1336" spans="1:4" ht="15" customHeight="1">
      <c r="A1336" s="282" t="s">
        <v>145</v>
      </c>
      <c r="B1336" s="283">
        <v>4267</v>
      </c>
      <c r="C1336" s="284" t="s">
        <v>351</v>
      </c>
      <c r="D1336" s="285">
        <v>3375</v>
      </c>
    </row>
    <row r="1337" spans="1:4" ht="15" customHeight="1">
      <c r="A1337" s="282" t="s">
        <v>145</v>
      </c>
      <c r="B1337" s="283">
        <v>4269</v>
      </c>
      <c r="C1337" s="284" t="s">
        <v>351</v>
      </c>
      <c r="D1337" s="285">
        <v>4125</v>
      </c>
    </row>
    <row r="1338" spans="1:4" ht="15" customHeight="1">
      <c r="A1338" s="282" t="s">
        <v>145</v>
      </c>
      <c r="B1338" s="283">
        <v>4300</v>
      </c>
      <c r="C1338" s="284" t="s">
        <v>353</v>
      </c>
      <c r="D1338" s="285">
        <v>201000</v>
      </c>
    </row>
    <row r="1339" spans="1:4" ht="15" customHeight="1">
      <c r="A1339" s="282" t="s">
        <v>145</v>
      </c>
      <c r="B1339" s="283">
        <v>4307</v>
      </c>
      <c r="C1339" s="284" t="s">
        <v>353</v>
      </c>
      <c r="D1339" s="285">
        <v>288258</v>
      </c>
    </row>
    <row r="1340" spans="1:4" ht="15" customHeight="1">
      <c r="A1340" s="282" t="s">
        <v>145</v>
      </c>
      <c r="B1340" s="283">
        <v>4308</v>
      </c>
      <c r="C1340" s="284" t="s">
        <v>353</v>
      </c>
      <c r="D1340" s="285">
        <v>69563</v>
      </c>
    </row>
    <row r="1341" spans="1:4" ht="15" customHeight="1">
      <c r="A1341" s="282" t="s">
        <v>145</v>
      </c>
      <c r="B1341" s="283">
        <v>4309</v>
      </c>
      <c r="C1341" s="284" t="s">
        <v>353</v>
      </c>
      <c r="D1341" s="285">
        <v>364591</v>
      </c>
    </row>
    <row r="1342" spans="1:4" ht="15" customHeight="1">
      <c r="A1342" s="282" t="s">
        <v>145</v>
      </c>
      <c r="B1342" s="283">
        <v>4367</v>
      </c>
      <c r="C1342" s="284" t="s">
        <v>354</v>
      </c>
      <c r="D1342" s="285">
        <v>3150</v>
      </c>
    </row>
    <row r="1343" spans="1:4" ht="15" customHeight="1">
      <c r="A1343" s="282" t="s">
        <v>145</v>
      </c>
      <c r="B1343" s="283">
        <v>4369</v>
      </c>
      <c r="C1343" s="284" t="s">
        <v>354</v>
      </c>
      <c r="D1343" s="285">
        <v>3850</v>
      </c>
    </row>
    <row r="1344" spans="1:4" ht="15" customHeight="1">
      <c r="A1344" s="282" t="s">
        <v>145</v>
      </c>
      <c r="B1344" s="283">
        <v>4388</v>
      </c>
      <c r="C1344" s="284" t="s">
        <v>355</v>
      </c>
      <c r="D1344" s="285">
        <v>4250</v>
      </c>
    </row>
    <row r="1345" spans="1:4" ht="15" customHeight="1">
      <c r="A1345" s="282" t="s">
        <v>145</v>
      </c>
      <c r="B1345" s="283">
        <v>4389</v>
      </c>
      <c r="C1345" s="284" t="s">
        <v>355</v>
      </c>
      <c r="D1345" s="285">
        <v>750</v>
      </c>
    </row>
    <row r="1346" spans="1:4" ht="15" customHeight="1">
      <c r="A1346" s="282" t="s">
        <v>145</v>
      </c>
      <c r="B1346" s="283">
        <v>4390</v>
      </c>
      <c r="C1346" s="284" t="s">
        <v>374</v>
      </c>
      <c r="D1346" s="285">
        <v>93000</v>
      </c>
    </row>
    <row r="1347" spans="1:4" ht="15" customHeight="1">
      <c r="A1347" s="282" t="s">
        <v>145</v>
      </c>
      <c r="B1347" s="283">
        <v>4407</v>
      </c>
      <c r="C1347" s="284" t="s">
        <v>356</v>
      </c>
      <c r="D1347" s="285">
        <v>4500</v>
      </c>
    </row>
    <row r="1348" spans="1:4" ht="15" customHeight="1">
      <c r="A1348" s="282" t="s">
        <v>145</v>
      </c>
      <c r="B1348" s="283">
        <v>4409</v>
      </c>
      <c r="C1348" s="284" t="s">
        <v>356</v>
      </c>
      <c r="D1348" s="285">
        <v>5500</v>
      </c>
    </row>
    <row r="1349" spans="1:4" ht="15" customHeight="1">
      <c r="A1349" s="282" t="s">
        <v>145</v>
      </c>
      <c r="B1349" s="283">
        <v>4417</v>
      </c>
      <c r="C1349" s="284" t="s">
        <v>357</v>
      </c>
      <c r="D1349" s="285">
        <v>22950</v>
      </c>
    </row>
    <row r="1350" spans="1:4" ht="15" customHeight="1">
      <c r="A1350" s="282" t="s">
        <v>145</v>
      </c>
      <c r="B1350" s="283">
        <v>4418</v>
      </c>
      <c r="C1350" s="284" t="s">
        <v>357</v>
      </c>
      <c r="D1350" s="285">
        <v>850</v>
      </c>
    </row>
    <row r="1351" spans="1:4" ht="15" customHeight="1">
      <c r="A1351" s="282" t="s">
        <v>145</v>
      </c>
      <c r="B1351" s="283">
        <v>4419</v>
      </c>
      <c r="C1351" s="284" t="s">
        <v>357</v>
      </c>
      <c r="D1351" s="285">
        <v>28200</v>
      </c>
    </row>
    <row r="1352" spans="1:4" ht="15" customHeight="1">
      <c r="A1352" s="282" t="s">
        <v>145</v>
      </c>
      <c r="B1352" s="283">
        <v>4428</v>
      </c>
      <c r="C1352" s="284" t="s">
        <v>358</v>
      </c>
      <c r="D1352" s="285">
        <v>34609</v>
      </c>
    </row>
    <row r="1353" spans="1:4" ht="15" customHeight="1">
      <c r="A1353" s="282" t="s">
        <v>145</v>
      </c>
      <c r="B1353" s="283">
        <v>4429</v>
      </c>
      <c r="C1353" s="284" t="s">
        <v>358</v>
      </c>
      <c r="D1353" s="285">
        <v>6107</v>
      </c>
    </row>
    <row r="1354" spans="1:4" ht="15" customHeight="1">
      <c r="A1354" s="282" t="s">
        <v>145</v>
      </c>
      <c r="B1354" s="283">
        <v>4437</v>
      </c>
      <c r="C1354" s="284" t="s">
        <v>359</v>
      </c>
      <c r="D1354" s="285">
        <v>225</v>
      </c>
    </row>
    <row r="1355" spans="1:4" ht="15" customHeight="1">
      <c r="A1355" s="282" t="s">
        <v>145</v>
      </c>
      <c r="B1355" s="283">
        <v>4438</v>
      </c>
      <c r="C1355" s="284" t="s">
        <v>359</v>
      </c>
      <c r="D1355" s="285">
        <v>425</v>
      </c>
    </row>
    <row r="1356" spans="1:4" ht="15" customHeight="1">
      <c r="A1356" s="282" t="s">
        <v>145</v>
      </c>
      <c r="B1356" s="283">
        <v>4439</v>
      </c>
      <c r="C1356" s="284" t="s">
        <v>359</v>
      </c>
      <c r="D1356" s="285">
        <v>350</v>
      </c>
    </row>
    <row r="1357" spans="1:4" ht="15" customHeight="1">
      <c r="A1357" s="286" t="s">
        <v>145</v>
      </c>
      <c r="B1357" s="287">
        <v>4700</v>
      </c>
      <c r="C1357" s="288" t="s">
        <v>360</v>
      </c>
      <c r="D1357" s="289">
        <v>20000</v>
      </c>
    </row>
    <row r="1358" spans="1:4" ht="15" customHeight="1">
      <c r="A1358" s="290" t="s">
        <v>145</v>
      </c>
      <c r="B1358" s="291">
        <v>4707</v>
      </c>
      <c r="C1358" s="292" t="s">
        <v>360</v>
      </c>
      <c r="D1358" s="293">
        <v>4770</v>
      </c>
    </row>
    <row r="1359" spans="1:4" ht="15" customHeight="1">
      <c r="A1359" s="282" t="s">
        <v>145</v>
      </c>
      <c r="B1359" s="283">
        <v>4709</v>
      </c>
      <c r="C1359" s="284" t="s">
        <v>360</v>
      </c>
      <c r="D1359" s="285">
        <v>5830</v>
      </c>
    </row>
    <row r="1360" spans="1:4" ht="15" customHeight="1">
      <c r="A1360" s="282" t="s">
        <v>145</v>
      </c>
      <c r="B1360" s="283">
        <v>6010</v>
      </c>
      <c r="C1360" s="284" t="s">
        <v>382</v>
      </c>
      <c r="D1360" s="285">
        <v>1500000</v>
      </c>
    </row>
    <row r="1361" spans="1:4" ht="39.75" customHeight="1">
      <c r="A1361" s="282" t="s">
        <v>145</v>
      </c>
      <c r="B1361" s="283">
        <v>6209</v>
      </c>
      <c r="C1361" s="284" t="s">
        <v>384</v>
      </c>
      <c r="D1361" s="285">
        <v>4312500</v>
      </c>
    </row>
    <row r="1362" spans="1:4" ht="39" customHeight="1">
      <c r="A1362" s="282" t="s">
        <v>145</v>
      </c>
      <c r="B1362" s="283">
        <v>6259</v>
      </c>
      <c r="C1362" s="284" t="s">
        <v>148</v>
      </c>
      <c r="D1362" s="285">
        <v>4312500</v>
      </c>
    </row>
    <row r="1363" spans="1:4" s="277" customFormat="1" ht="15" customHeight="1">
      <c r="A1363" s="273" t="s">
        <v>102</v>
      </c>
      <c r="B1363" s="274" t="s">
        <v>145</v>
      </c>
      <c r="C1363" s="275" t="s">
        <v>103</v>
      </c>
      <c r="D1363" s="276">
        <f>D1364+D1366+D1369+D1373+D1377+D1379+D1381+D1384+D1388+D1395</f>
        <v>107995408</v>
      </c>
    </row>
    <row r="1364" spans="1:4" s="277" customFormat="1" ht="15" customHeight="1">
      <c r="A1364" s="278">
        <v>92105</v>
      </c>
      <c r="B1364" s="279" t="s">
        <v>145</v>
      </c>
      <c r="C1364" s="280" t="s">
        <v>214</v>
      </c>
      <c r="D1364" s="281">
        <f>D1365</f>
        <v>1000000</v>
      </c>
    </row>
    <row r="1365" spans="1:4" ht="27.75" customHeight="1">
      <c r="A1365" s="282" t="s">
        <v>145</v>
      </c>
      <c r="B1365" s="283">
        <v>6220</v>
      </c>
      <c r="C1365" s="284" t="s">
        <v>385</v>
      </c>
      <c r="D1365" s="285">
        <v>1000000</v>
      </c>
    </row>
    <row r="1366" spans="1:4" s="277" customFormat="1" ht="15" customHeight="1">
      <c r="A1366" s="278">
        <v>92106</v>
      </c>
      <c r="B1366" s="279" t="s">
        <v>145</v>
      </c>
      <c r="C1366" s="280" t="s">
        <v>325</v>
      </c>
      <c r="D1366" s="281">
        <f>SUM(D1367:D1368)</f>
        <v>28192598</v>
      </c>
    </row>
    <row r="1367" spans="1:4" ht="15" customHeight="1">
      <c r="A1367" s="282" t="s">
        <v>145</v>
      </c>
      <c r="B1367" s="283">
        <v>2480</v>
      </c>
      <c r="C1367" s="284" t="s">
        <v>401</v>
      </c>
      <c r="D1367" s="285">
        <v>26907300</v>
      </c>
    </row>
    <row r="1368" spans="1:4" ht="27" customHeight="1">
      <c r="A1368" s="282" t="s">
        <v>145</v>
      </c>
      <c r="B1368" s="283">
        <v>6220</v>
      </c>
      <c r="C1368" s="284" t="s">
        <v>385</v>
      </c>
      <c r="D1368" s="285">
        <v>1285298</v>
      </c>
    </row>
    <row r="1369" spans="1:4" s="277" customFormat="1" ht="15" customHeight="1">
      <c r="A1369" s="278">
        <v>92108</v>
      </c>
      <c r="B1369" s="279" t="s">
        <v>145</v>
      </c>
      <c r="C1369" s="280" t="s">
        <v>326</v>
      </c>
      <c r="D1369" s="281">
        <f>SUM(D1370:D1372)</f>
        <v>12668216</v>
      </c>
    </row>
    <row r="1370" spans="1:4" ht="15" customHeight="1">
      <c r="A1370" s="282" t="s">
        <v>145</v>
      </c>
      <c r="B1370" s="283">
        <v>2480</v>
      </c>
      <c r="C1370" s="284" t="s">
        <v>401</v>
      </c>
      <c r="D1370" s="285">
        <v>8667446</v>
      </c>
    </row>
    <row r="1371" spans="1:4" ht="15.75" customHeight="1">
      <c r="A1371" s="282" t="s">
        <v>145</v>
      </c>
      <c r="B1371" s="283">
        <v>2800</v>
      </c>
      <c r="C1371" s="284" t="s">
        <v>367</v>
      </c>
      <c r="D1371" s="285">
        <v>118018</v>
      </c>
    </row>
    <row r="1372" spans="1:4" ht="27" customHeight="1">
      <c r="A1372" s="282" t="s">
        <v>145</v>
      </c>
      <c r="B1372" s="283">
        <v>6220</v>
      </c>
      <c r="C1372" s="284" t="s">
        <v>385</v>
      </c>
      <c r="D1372" s="285">
        <v>3882752</v>
      </c>
    </row>
    <row r="1373" spans="1:4" s="277" customFormat="1" ht="15" customHeight="1">
      <c r="A1373" s="278">
        <v>92109</v>
      </c>
      <c r="B1373" s="279" t="s">
        <v>145</v>
      </c>
      <c r="C1373" s="280" t="s">
        <v>126</v>
      </c>
      <c r="D1373" s="281">
        <f>SUM(D1374:D1376)</f>
        <v>6731661</v>
      </c>
    </row>
    <row r="1374" spans="1:4" ht="15" customHeight="1">
      <c r="A1374" s="282" t="s">
        <v>145</v>
      </c>
      <c r="B1374" s="283">
        <v>2480</v>
      </c>
      <c r="C1374" s="284" t="s">
        <v>401</v>
      </c>
      <c r="D1374" s="285">
        <v>6656661</v>
      </c>
    </row>
    <row r="1375" spans="1:4" ht="15.75" customHeight="1">
      <c r="A1375" s="282" t="s">
        <v>145</v>
      </c>
      <c r="B1375" s="283">
        <v>2800</v>
      </c>
      <c r="C1375" s="284" t="s">
        <v>367</v>
      </c>
      <c r="D1375" s="285">
        <v>15000</v>
      </c>
    </row>
    <row r="1376" spans="1:4" ht="27" customHeight="1">
      <c r="A1376" s="282" t="s">
        <v>145</v>
      </c>
      <c r="B1376" s="283">
        <v>6220</v>
      </c>
      <c r="C1376" s="284" t="s">
        <v>385</v>
      </c>
      <c r="D1376" s="285">
        <v>60000</v>
      </c>
    </row>
    <row r="1377" spans="1:4" s="277" customFormat="1" ht="15" customHeight="1">
      <c r="A1377" s="278">
        <v>92110</v>
      </c>
      <c r="B1377" s="279" t="s">
        <v>145</v>
      </c>
      <c r="C1377" s="280" t="s">
        <v>327</v>
      </c>
      <c r="D1377" s="281">
        <f>D1378</f>
        <v>2350220</v>
      </c>
    </row>
    <row r="1378" spans="1:4" ht="15" customHeight="1">
      <c r="A1378" s="282" t="s">
        <v>145</v>
      </c>
      <c r="B1378" s="283">
        <v>2480</v>
      </c>
      <c r="C1378" s="284" t="s">
        <v>401</v>
      </c>
      <c r="D1378" s="285">
        <v>2350220</v>
      </c>
    </row>
    <row r="1379" spans="1:4" s="277" customFormat="1" ht="15" customHeight="1">
      <c r="A1379" s="278">
        <v>92113</v>
      </c>
      <c r="B1379" s="279" t="s">
        <v>145</v>
      </c>
      <c r="C1379" s="280" t="s">
        <v>328</v>
      </c>
      <c r="D1379" s="281">
        <f>D1380</f>
        <v>1299500</v>
      </c>
    </row>
    <row r="1380" spans="1:4" ht="15" customHeight="1">
      <c r="A1380" s="282" t="s">
        <v>145</v>
      </c>
      <c r="B1380" s="283">
        <v>2480</v>
      </c>
      <c r="C1380" s="284" t="s">
        <v>401</v>
      </c>
      <c r="D1380" s="285">
        <v>1299500</v>
      </c>
    </row>
    <row r="1381" spans="1:4" s="277" customFormat="1" ht="15" customHeight="1">
      <c r="A1381" s="278">
        <v>92116</v>
      </c>
      <c r="B1381" s="279" t="s">
        <v>145</v>
      </c>
      <c r="C1381" s="280" t="s">
        <v>127</v>
      </c>
      <c r="D1381" s="281">
        <f>SUM(D1382:D1383)</f>
        <v>19145790</v>
      </c>
    </row>
    <row r="1382" spans="1:4" ht="15" customHeight="1">
      <c r="A1382" s="282" t="s">
        <v>145</v>
      </c>
      <c r="B1382" s="283">
        <v>2480</v>
      </c>
      <c r="C1382" s="284" t="s">
        <v>401</v>
      </c>
      <c r="D1382" s="285">
        <v>19092690</v>
      </c>
    </row>
    <row r="1383" spans="1:4" ht="15" customHeight="1">
      <c r="A1383" s="282" t="s">
        <v>145</v>
      </c>
      <c r="B1383" s="283">
        <v>2800</v>
      </c>
      <c r="C1383" s="284" t="s">
        <v>367</v>
      </c>
      <c r="D1383" s="285">
        <v>53100</v>
      </c>
    </row>
    <row r="1384" spans="1:4" s="277" customFormat="1" ht="15" customHeight="1">
      <c r="A1384" s="278">
        <v>92118</v>
      </c>
      <c r="B1384" s="279" t="s">
        <v>145</v>
      </c>
      <c r="C1384" s="280" t="s">
        <v>329</v>
      </c>
      <c r="D1384" s="281">
        <f>SUM(D1385:D1387)</f>
        <v>13004000</v>
      </c>
    </row>
    <row r="1385" spans="1:4" ht="15" customHeight="1">
      <c r="A1385" s="282" t="s">
        <v>145</v>
      </c>
      <c r="B1385" s="283">
        <v>2480</v>
      </c>
      <c r="C1385" s="284" t="s">
        <v>401</v>
      </c>
      <c r="D1385" s="285">
        <v>12830000</v>
      </c>
    </row>
    <row r="1386" spans="1:4" ht="27" customHeight="1">
      <c r="A1386" s="282" t="s">
        <v>145</v>
      </c>
      <c r="B1386" s="283">
        <v>2710</v>
      </c>
      <c r="C1386" s="284" t="s">
        <v>402</v>
      </c>
      <c r="D1386" s="285">
        <v>74000</v>
      </c>
    </row>
    <row r="1387" spans="1:4" ht="29.25" customHeight="1">
      <c r="A1387" s="282" t="s">
        <v>145</v>
      </c>
      <c r="B1387" s="283">
        <v>6220</v>
      </c>
      <c r="C1387" s="284" t="s">
        <v>385</v>
      </c>
      <c r="D1387" s="285">
        <v>100000</v>
      </c>
    </row>
    <row r="1388" spans="1:4" s="277" customFormat="1" ht="15" customHeight="1">
      <c r="A1388" s="278">
        <v>92120</v>
      </c>
      <c r="B1388" s="279" t="s">
        <v>145</v>
      </c>
      <c r="C1388" s="280" t="s">
        <v>330</v>
      </c>
      <c r="D1388" s="281">
        <f>SUM(D1389:D1394)</f>
        <v>1000000</v>
      </c>
    </row>
    <row r="1389" spans="1:4" ht="39.75" customHeight="1">
      <c r="A1389" s="282" t="s">
        <v>145</v>
      </c>
      <c r="B1389" s="283">
        <v>2720</v>
      </c>
      <c r="C1389" s="284" t="s">
        <v>403</v>
      </c>
      <c r="D1389" s="285">
        <v>750000</v>
      </c>
    </row>
    <row r="1390" spans="1:4" ht="38.25" customHeight="1">
      <c r="A1390" s="282" t="s">
        <v>145</v>
      </c>
      <c r="B1390" s="283">
        <v>2730</v>
      </c>
      <c r="C1390" s="284" t="s">
        <v>404</v>
      </c>
      <c r="D1390" s="285">
        <v>175000</v>
      </c>
    </row>
    <row r="1391" spans="1:4" ht="15" customHeight="1">
      <c r="A1391" s="282" t="s">
        <v>145</v>
      </c>
      <c r="B1391" s="283">
        <v>4170</v>
      </c>
      <c r="C1391" s="284" t="s">
        <v>347</v>
      </c>
      <c r="D1391" s="285">
        <v>19000</v>
      </c>
    </row>
    <row r="1392" spans="1:4" ht="15" customHeight="1">
      <c r="A1392" s="282" t="s">
        <v>145</v>
      </c>
      <c r="B1392" s="283">
        <v>4190</v>
      </c>
      <c r="C1392" s="284" t="s">
        <v>348</v>
      </c>
      <c r="D1392" s="285">
        <v>2000</v>
      </c>
    </row>
    <row r="1393" spans="1:4" ht="15" customHeight="1">
      <c r="A1393" s="282" t="s">
        <v>145</v>
      </c>
      <c r="B1393" s="283">
        <v>4210</v>
      </c>
      <c r="C1393" s="284" t="s">
        <v>349</v>
      </c>
      <c r="D1393" s="285">
        <v>4000</v>
      </c>
    </row>
    <row r="1394" spans="1:4" ht="15" customHeight="1">
      <c r="A1394" s="282" t="s">
        <v>145</v>
      </c>
      <c r="B1394" s="283">
        <v>4300</v>
      </c>
      <c r="C1394" s="284" t="s">
        <v>353</v>
      </c>
      <c r="D1394" s="285">
        <v>50000</v>
      </c>
    </row>
    <row r="1395" spans="1:4" s="277" customFormat="1" ht="15" customHeight="1">
      <c r="A1395" s="278">
        <v>92195</v>
      </c>
      <c r="B1395" s="279" t="s">
        <v>145</v>
      </c>
      <c r="C1395" s="280" t="s">
        <v>130</v>
      </c>
      <c r="D1395" s="281">
        <f>SUM(D1396:D1441)</f>
        <v>22603423</v>
      </c>
    </row>
    <row r="1396" spans="1:4" ht="41.25" customHeight="1">
      <c r="A1396" s="282" t="s">
        <v>145</v>
      </c>
      <c r="B1396" s="283">
        <v>2360</v>
      </c>
      <c r="C1396" s="284" t="s">
        <v>383</v>
      </c>
      <c r="D1396" s="285">
        <v>1050000</v>
      </c>
    </row>
    <row r="1397" spans="1:4" ht="26.25" customHeight="1">
      <c r="A1397" s="282" t="s">
        <v>145</v>
      </c>
      <c r="B1397" s="283">
        <v>2710</v>
      </c>
      <c r="C1397" s="284" t="s">
        <v>402</v>
      </c>
      <c r="D1397" s="285">
        <v>450000</v>
      </c>
    </row>
    <row r="1398" spans="1:4" ht="15.75" customHeight="1">
      <c r="A1398" s="282" t="s">
        <v>145</v>
      </c>
      <c r="B1398" s="283">
        <v>2800</v>
      </c>
      <c r="C1398" s="284" t="s">
        <v>367</v>
      </c>
      <c r="D1398" s="285">
        <v>1446000</v>
      </c>
    </row>
    <row r="1399" spans="1:4" ht="15" customHeight="1">
      <c r="A1399" s="282" t="s">
        <v>145</v>
      </c>
      <c r="B1399" s="283">
        <v>3040</v>
      </c>
      <c r="C1399" s="284" t="s">
        <v>387</v>
      </c>
      <c r="D1399" s="285">
        <v>200000</v>
      </c>
    </row>
    <row r="1400" spans="1:4" ht="15" customHeight="1">
      <c r="A1400" s="282" t="s">
        <v>145</v>
      </c>
      <c r="B1400" s="283">
        <v>3250</v>
      </c>
      <c r="C1400" s="284" t="s">
        <v>405</v>
      </c>
      <c r="D1400" s="285">
        <v>130000</v>
      </c>
    </row>
    <row r="1401" spans="1:4" ht="15" customHeight="1">
      <c r="A1401" s="282" t="s">
        <v>145</v>
      </c>
      <c r="B1401" s="283">
        <v>4017</v>
      </c>
      <c r="C1401" s="284" t="s">
        <v>343</v>
      </c>
      <c r="D1401" s="285">
        <v>19720</v>
      </c>
    </row>
    <row r="1402" spans="1:4" ht="15" customHeight="1">
      <c r="A1402" s="286" t="s">
        <v>145</v>
      </c>
      <c r="B1402" s="287">
        <v>4018</v>
      </c>
      <c r="C1402" s="288" t="s">
        <v>343</v>
      </c>
      <c r="D1402" s="289">
        <v>66743</v>
      </c>
    </row>
    <row r="1403" spans="1:4" ht="15" customHeight="1">
      <c r="A1403" s="290" t="s">
        <v>145</v>
      </c>
      <c r="B1403" s="291">
        <v>4019</v>
      </c>
      <c r="C1403" s="292" t="s">
        <v>343</v>
      </c>
      <c r="D1403" s="293">
        <v>15258</v>
      </c>
    </row>
    <row r="1404" spans="1:4" ht="15" customHeight="1">
      <c r="A1404" s="282" t="s">
        <v>145</v>
      </c>
      <c r="B1404" s="283">
        <v>4048</v>
      </c>
      <c r="C1404" s="284" t="s">
        <v>344</v>
      </c>
      <c r="D1404" s="285">
        <v>7341</v>
      </c>
    </row>
    <row r="1405" spans="1:4" ht="15" customHeight="1">
      <c r="A1405" s="282" t="s">
        <v>145</v>
      </c>
      <c r="B1405" s="283">
        <v>4049</v>
      </c>
      <c r="C1405" s="284" t="s">
        <v>344</v>
      </c>
      <c r="D1405" s="285">
        <v>1296</v>
      </c>
    </row>
    <row r="1406" spans="1:4" ht="15" customHeight="1">
      <c r="A1406" s="282" t="s">
        <v>145</v>
      </c>
      <c r="B1406" s="283">
        <v>4110</v>
      </c>
      <c r="C1406" s="284" t="s">
        <v>345</v>
      </c>
      <c r="D1406" s="285">
        <v>3500</v>
      </c>
    </row>
    <row r="1407" spans="1:4" ht="15" customHeight="1">
      <c r="A1407" s="282" t="s">
        <v>145</v>
      </c>
      <c r="B1407" s="283">
        <v>4117</v>
      </c>
      <c r="C1407" s="284" t="s">
        <v>345</v>
      </c>
      <c r="D1407" s="285">
        <v>4420</v>
      </c>
    </row>
    <row r="1408" spans="1:4" ht="15" customHeight="1">
      <c r="A1408" s="282" t="s">
        <v>145</v>
      </c>
      <c r="B1408" s="283">
        <v>4118</v>
      </c>
      <c r="C1408" s="284" t="s">
        <v>345</v>
      </c>
      <c r="D1408" s="285">
        <v>12735</v>
      </c>
    </row>
    <row r="1409" spans="1:4" ht="15" customHeight="1">
      <c r="A1409" s="282" t="s">
        <v>145</v>
      </c>
      <c r="B1409" s="283">
        <v>4119</v>
      </c>
      <c r="C1409" s="284" t="s">
        <v>345</v>
      </c>
      <c r="D1409" s="285">
        <v>3027</v>
      </c>
    </row>
    <row r="1410" spans="1:4" ht="15" customHeight="1">
      <c r="A1410" s="282" t="s">
        <v>145</v>
      </c>
      <c r="B1410" s="283">
        <v>4120</v>
      </c>
      <c r="C1410" s="284" t="s">
        <v>346</v>
      </c>
      <c r="D1410" s="285">
        <v>500</v>
      </c>
    </row>
    <row r="1411" spans="1:4" ht="15" customHeight="1">
      <c r="A1411" s="282" t="s">
        <v>145</v>
      </c>
      <c r="B1411" s="283">
        <v>4127</v>
      </c>
      <c r="C1411" s="284" t="s">
        <v>346</v>
      </c>
      <c r="D1411" s="285">
        <v>680</v>
      </c>
    </row>
    <row r="1412" spans="1:4" ht="15" customHeight="1">
      <c r="A1412" s="282" t="s">
        <v>145</v>
      </c>
      <c r="B1412" s="283">
        <v>4128</v>
      </c>
      <c r="C1412" s="284" t="s">
        <v>346</v>
      </c>
      <c r="D1412" s="285">
        <v>1815</v>
      </c>
    </row>
    <row r="1413" spans="1:4" ht="15" customHeight="1">
      <c r="A1413" s="282" t="s">
        <v>145</v>
      </c>
      <c r="B1413" s="283">
        <v>4129</v>
      </c>
      <c r="C1413" s="284" t="s">
        <v>346</v>
      </c>
      <c r="D1413" s="285">
        <v>440</v>
      </c>
    </row>
    <row r="1414" spans="1:4" ht="15" customHeight="1">
      <c r="A1414" s="282" t="s">
        <v>145</v>
      </c>
      <c r="B1414" s="283">
        <v>4170</v>
      </c>
      <c r="C1414" s="284" t="s">
        <v>347</v>
      </c>
      <c r="D1414" s="285">
        <v>42000</v>
      </c>
    </row>
    <row r="1415" spans="1:4" ht="15" customHeight="1">
      <c r="A1415" s="282" t="s">
        <v>145</v>
      </c>
      <c r="B1415" s="283">
        <v>4177</v>
      </c>
      <c r="C1415" s="284" t="s">
        <v>347</v>
      </c>
      <c r="D1415" s="285">
        <v>5100</v>
      </c>
    </row>
    <row r="1416" spans="1:4" ht="15" customHeight="1">
      <c r="A1416" s="282" t="s">
        <v>145</v>
      </c>
      <c r="B1416" s="283">
        <v>4179</v>
      </c>
      <c r="C1416" s="284" t="s">
        <v>347</v>
      </c>
      <c r="D1416" s="285">
        <v>900</v>
      </c>
    </row>
    <row r="1417" spans="1:4" ht="15" customHeight="1">
      <c r="A1417" s="282" t="s">
        <v>145</v>
      </c>
      <c r="B1417" s="283">
        <v>4190</v>
      </c>
      <c r="C1417" s="284" t="s">
        <v>348</v>
      </c>
      <c r="D1417" s="285">
        <v>71000</v>
      </c>
    </row>
    <row r="1418" spans="1:4" ht="15" customHeight="1">
      <c r="A1418" s="282" t="s">
        <v>145</v>
      </c>
      <c r="B1418" s="283">
        <v>4210</v>
      </c>
      <c r="C1418" s="284" t="s">
        <v>349</v>
      </c>
      <c r="D1418" s="285">
        <v>13500</v>
      </c>
    </row>
    <row r="1419" spans="1:4" ht="15" customHeight="1">
      <c r="A1419" s="282" t="s">
        <v>145</v>
      </c>
      <c r="B1419" s="283">
        <v>4217</v>
      </c>
      <c r="C1419" s="284" t="s">
        <v>349</v>
      </c>
      <c r="D1419" s="285">
        <v>56547</v>
      </c>
    </row>
    <row r="1420" spans="1:4" ht="15" customHeight="1">
      <c r="A1420" s="282" t="s">
        <v>145</v>
      </c>
      <c r="B1420" s="283">
        <v>4218</v>
      </c>
      <c r="C1420" s="284" t="s">
        <v>349</v>
      </c>
      <c r="D1420" s="285">
        <v>3400</v>
      </c>
    </row>
    <row r="1421" spans="1:4" ht="15" customHeight="1">
      <c r="A1421" s="282" t="s">
        <v>145</v>
      </c>
      <c r="B1421" s="283">
        <v>4219</v>
      </c>
      <c r="C1421" s="284" t="s">
        <v>349</v>
      </c>
      <c r="D1421" s="285">
        <v>10579</v>
      </c>
    </row>
    <row r="1422" spans="1:4" ht="15" customHeight="1">
      <c r="A1422" s="282" t="s">
        <v>145</v>
      </c>
      <c r="B1422" s="283">
        <v>4267</v>
      </c>
      <c r="C1422" s="284" t="s">
        <v>351</v>
      </c>
      <c r="D1422" s="285">
        <v>1020</v>
      </c>
    </row>
    <row r="1423" spans="1:4" ht="15" customHeight="1">
      <c r="A1423" s="282" t="s">
        <v>145</v>
      </c>
      <c r="B1423" s="283">
        <v>4269</v>
      </c>
      <c r="C1423" s="284" t="s">
        <v>351</v>
      </c>
      <c r="D1423" s="285">
        <v>180</v>
      </c>
    </row>
    <row r="1424" spans="1:4" ht="15" customHeight="1">
      <c r="A1424" s="282" t="s">
        <v>145</v>
      </c>
      <c r="B1424" s="283">
        <v>4300</v>
      </c>
      <c r="C1424" s="284" t="s">
        <v>353</v>
      </c>
      <c r="D1424" s="285">
        <v>2198063</v>
      </c>
    </row>
    <row r="1425" spans="1:4" ht="15" customHeight="1">
      <c r="A1425" s="282" t="s">
        <v>145</v>
      </c>
      <c r="B1425" s="283">
        <v>4307</v>
      </c>
      <c r="C1425" s="284" t="s">
        <v>353</v>
      </c>
      <c r="D1425" s="285">
        <v>294900</v>
      </c>
    </row>
    <row r="1426" spans="1:4" ht="15" customHeight="1">
      <c r="A1426" s="282" t="s">
        <v>145</v>
      </c>
      <c r="B1426" s="283">
        <v>4308</v>
      </c>
      <c r="C1426" s="284" t="s">
        <v>353</v>
      </c>
      <c r="D1426" s="285">
        <v>129386</v>
      </c>
    </row>
    <row r="1427" spans="1:4" ht="15" customHeight="1">
      <c r="A1427" s="282" t="s">
        <v>145</v>
      </c>
      <c r="B1427" s="283">
        <v>4309</v>
      </c>
      <c r="C1427" s="284" t="s">
        <v>353</v>
      </c>
      <c r="D1427" s="285">
        <v>74875</v>
      </c>
    </row>
    <row r="1428" spans="1:4" ht="15" customHeight="1">
      <c r="A1428" s="282" t="s">
        <v>145</v>
      </c>
      <c r="B1428" s="283">
        <v>4388</v>
      </c>
      <c r="C1428" s="284" t="s">
        <v>355</v>
      </c>
      <c r="D1428" s="285">
        <v>5383</v>
      </c>
    </row>
    <row r="1429" spans="1:4" ht="15" customHeight="1">
      <c r="A1429" s="282" t="s">
        <v>145</v>
      </c>
      <c r="B1429" s="283">
        <v>4389</v>
      </c>
      <c r="C1429" s="284" t="s">
        <v>355</v>
      </c>
      <c r="D1429" s="285">
        <v>950</v>
      </c>
    </row>
    <row r="1430" spans="1:4" ht="15" customHeight="1">
      <c r="A1430" s="282" t="s">
        <v>145</v>
      </c>
      <c r="B1430" s="283">
        <v>4397</v>
      </c>
      <c r="C1430" s="284" t="s">
        <v>374</v>
      </c>
      <c r="D1430" s="285">
        <v>42500</v>
      </c>
    </row>
    <row r="1431" spans="1:4" ht="15" customHeight="1">
      <c r="A1431" s="282" t="s">
        <v>145</v>
      </c>
      <c r="B1431" s="283">
        <v>4399</v>
      </c>
      <c r="C1431" s="284" t="s">
        <v>374</v>
      </c>
      <c r="D1431" s="285">
        <v>7500</v>
      </c>
    </row>
    <row r="1432" spans="1:4" ht="15" customHeight="1">
      <c r="A1432" s="282" t="s">
        <v>145</v>
      </c>
      <c r="B1432" s="283">
        <v>4418</v>
      </c>
      <c r="C1432" s="284" t="s">
        <v>357</v>
      </c>
      <c r="D1432" s="285">
        <v>1700</v>
      </c>
    </row>
    <row r="1433" spans="1:4" ht="15" customHeight="1">
      <c r="A1433" s="282" t="s">
        <v>145</v>
      </c>
      <c r="B1433" s="283">
        <v>4419</v>
      </c>
      <c r="C1433" s="284" t="s">
        <v>357</v>
      </c>
      <c r="D1433" s="285">
        <v>300</v>
      </c>
    </row>
    <row r="1434" spans="1:4" ht="15" customHeight="1">
      <c r="A1434" s="282" t="s">
        <v>145</v>
      </c>
      <c r="B1434" s="283">
        <v>4428</v>
      </c>
      <c r="C1434" s="284" t="s">
        <v>358</v>
      </c>
      <c r="D1434" s="285">
        <v>33758</v>
      </c>
    </row>
    <row r="1435" spans="1:4" ht="15" customHeight="1">
      <c r="A1435" s="282" t="s">
        <v>145</v>
      </c>
      <c r="B1435" s="283">
        <v>4429</v>
      </c>
      <c r="C1435" s="284" t="s">
        <v>358</v>
      </c>
      <c r="D1435" s="285">
        <v>5958</v>
      </c>
    </row>
    <row r="1436" spans="1:4" ht="15" customHeight="1">
      <c r="A1436" s="282" t="s">
        <v>145</v>
      </c>
      <c r="B1436" s="283">
        <v>4438</v>
      </c>
      <c r="C1436" s="284" t="s">
        <v>359</v>
      </c>
      <c r="D1436" s="285">
        <v>425</v>
      </c>
    </row>
    <row r="1437" spans="1:4" ht="15" customHeight="1">
      <c r="A1437" s="282" t="s">
        <v>145</v>
      </c>
      <c r="B1437" s="283">
        <v>4439</v>
      </c>
      <c r="C1437" s="284" t="s">
        <v>359</v>
      </c>
      <c r="D1437" s="285">
        <v>75</v>
      </c>
    </row>
    <row r="1438" spans="1:4" ht="15" customHeight="1">
      <c r="A1438" s="282" t="s">
        <v>145</v>
      </c>
      <c r="B1438" s="283">
        <v>6050</v>
      </c>
      <c r="C1438" s="284" t="s">
        <v>370</v>
      </c>
      <c r="D1438" s="285">
        <v>3008690</v>
      </c>
    </row>
    <row r="1439" spans="1:4" ht="15" customHeight="1">
      <c r="A1439" s="282" t="s">
        <v>145</v>
      </c>
      <c r="B1439" s="283">
        <v>6057</v>
      </c>
      <c r="C1439" s="284" t="s">
        <v>370</v>
      </c>
      <c r="D1439" s="285">
        <v>11119070</v>
      </c>
    </row>
    <row r="1440" spans="1:4" ht="15" customHeight="1">
      <c r="A1440" s="282" t="s">
        <v>145</v>
      </c>
      <c r="B1440" s="283">
        <v>6059</v>
      </c>
      <c r="C1440" s="284" t="s">
        <v>370</v>
      </c>
      <c r="D1440" s="285">
        <v>1962189</v>
      </c>
    </row>
    <row r="1441" spans="1:4" ht="27" customHeight="1">
      <c r="A1441" s="282" t="s">
        <v>145</v>
      </c>
      <c r="B1441" s="283">
        <v>6300</v>
      </c>
      <c r="C1441" s="284" t="s">
        <v>340</v>
      </c>
      <c r="D1441" s="285">
        <v>100000</v>
      </c>
    </row>
    <row r="1442" spans="1:4" s="277" customFormat="1" ht="29.25" customHeight="1">
      <c r="A1442" s="273" t="s">
        <v>62</v>
      </c>
      <c r="B1442" s="274" t="s">
        <v>145</v>
      </c>
      <c r="C1442" s="275" t="s">
        <v>104</v>
      </c>
      <c r="D1442" s="276">
        <f>D1443</f>
        <v>13217864</v>
      </c>
    </row>
    <row r="1443" spans="1:4" s="277" customFormat="1" ht="15" customHeight="1">
      <c r="A1443" s="278">
        <v>92502</v>
      </c>
      <c r="B1443" s="279" t="s">
        <v>145</v>
      </c>
      <c r="C1443" s="280" t="s">
        <v>128</v>
      </c>
      <c r="D1443" s="281">
        <f>SUM(D1444:D1481)</f>
        <v>13217864</v>
      </c>
    </row>
    <row r="1444" spans="1:4" ht="15" customHeight="1">
      <c r="A1444" s="282" t="s">
        <v>145</v>
      </c>
      <c r="B1444" s="283">
        <v>3020</v>
      </c>
      <c r="C1444" s="284" t="s">
        <v>371</v>
      </c>
      <c r="D1444" s="285">
        <v>96000</v>
      </c>
    </row>
    <row r="1445" spans="1:4" ht="15" customHeight="1">
      <c r="A1445" s="282" t="s">
        <v>145</v>
      </c>
      <c r="B1445" s="283">
        <v>4010</v>
      </c>
      <c r="C1445" s="284" t="s">
        <v>343</v>
      </c>
      <c r="D1445" s="285">
        <v>2651213</v>
      </c>
    </row>
    <row r="1446" spans="1:4" ht="15" customHeight="1">
      <c r="A1446" s="282" t="s">
        <v>145</v>
      </c>
      <c r="B1446" s="283">
        <v>4017</v>
      </c>
      <c r="C1446" s="284" t="s">
        <v>343</v>
      </c>
      <c r="D1446" s="285">
        <v>13206</v>
      </c>
    </row>
    <row r="1447" spans="1:4" ht="15" customHeight="1">
      <c r="A1447" s="282" t="s">
        <v>145</v>
      </c>
      <c r="B1447" s="283">
        <v>4019</v>
      </c>
      <c r="C1447" s="284" t="s">
        <v>343</v>
      </c>
      <c r="D1447" s="285">
        <v>16371</v>
      </c>
    </row>
    <row r="1448" spans="1:4" ht="15" customHeight="1">
      <c r="A1448" s="282" t="s">
        <v>145</v>
      </c>
      <c r="B1448" s="283">
        <v>4040</v>
      </c>
      <c r="C1448" s="284" t="s">
        <v>344</v>
      </c>
      <c r="D1448" s="285">
        <v>229670</v>
      </c>
    </row>
    <row r="1449" spans="1:4" ht="15" customHeight="1">
      <c r="A1449" s="282" t="s">
        <v>145</v>
      </c>
      <c r="B1449" s="283">
        <v>4110</v>
      </c>
      <c r="C1449" s="284" t="s">
        <v>345</v>
      </c>
      <c r="D1449" s="285">
        <v>510884</v>
      </c>
    </row>
    <row r="1450" spans="1:4" ht="15" customHeight="1">
      <c r="A1450" s="282" t="s">
        <v>145</v>
      </c>
      <c r="B1450" s="283">
        <v>4117</v>
      </c>
      <c r="C1450" s="284" t="s">
        <v>345</v>
      </c>
      <c r="D1450" s="285">
        <v>2388</v>
      </c>
    </row>
    <row r="1451" spans="1:4" ht="15" customHeight="1">
      <c r="A1451" s="282" t="s">
        <v>145</v>
      </c>
      <c r="B1451" s="283">
        <v>4119</v>
      </c>
      <c r="C1451" s="284" t="s">
        <v>345</v>
      </c>
      <c r="D1451" s="285">
        <v>2961</v>
      </c>
    </row>
    <row r="1452" spans="1:4" ht="15" customHeight="1">
      <c r="A1452" s="282" t="s">
        <v>145</v>
      </c>
      <c r="B1452" s="283">
        <v>4120</v>
      </c>
      <c r="C1452" s="284" t="s">
        <v>346</v>
      </c>
      <c r="D1452" s="285">
        <v>63437</v>
      </c>
    </row>
    <row r="1453" spans="1:4" ht="15" customHeight="1">
      <c r="A1453" s="282" t="s">
        <v>145</v>
      </c>
      <c r="B1453" s="283">
        <v>4127</v>
      </c>
      <c r="C1453" s="284" t="s">
        <v>346</v>
      </c>
      <c r="D1453" s="285">
        <v>330</v>
      </c>
    </row>
    <row r="1454" spans="1:4" ht="15" customHeight="1">
      <c r="A1454" s="282" t="s">
        <v>145</v>
      </c>
      <c r="B1454" s="283">
        <v>4129</v>
      </c>
      <c r="C1454" s="284" t="s">
        <v>346</v>
      </c>
      <c r="D1454" s="285">
        <v>408</v>
      </c>
    </row>
    <row r="1455" spans="1:4" ht="15" customHeight="1">
      <c r="A1455" s="282" t="s">
        <v>145</v>
      </c>
      <c r="B1455" s="283">
        <v>4170</v>
      </c>
      <c r="C1455" s="284" t="s">
        <v>347</v>
      </c>
      <c r="D1455" s="285">
        <v>82840</v>
      </c>
    </row>
    <row r="1456" spans="1:4" ht="15" customHeight="1">
      <c r="A1456" s="282" t="s">
        <v>145</v>
      </c>
      <c r="B1456" s="283">
        <v>4177</v>
      </c>
      <c r="C1456" s="284" t="s">
        <v>347</v>
      </c>
      <c r="D1456" s="285">
        <v>5100</v>
      </c>
    </row>
    <row r="1457" spans="1:4" ht="15" customHeight="1">
      <c r="A1457" s="282" t="s">
        <v>145</v>
      </c>
      <c r="B1457" s="283">
        <v>4179</v>
      </c>
      <c r="C1457" s="284" t="s">
        <v>347</v>
      </c>
      <c r="D1457" s="285">
        <v>900</v>
      </c>
    </row>
    <row r="1458" spans="1:4" ht="15" customHeight="1">
      <c r="A1458" s="282" t="s">
        <v>145</v>
      </c>
      <c r="B1458" s="283">
        <v>4197</v>
      </c>
      <c r="C1458" s="284" t="s">
        <v>348</v>
      </c>
      <c r="D1458" s="285">
        <v>3126</v>
      </c>
    </row>
    <row r="1459" spans="1:4" ht="15" customHeight="1">
      <c r="A1459" s="286" t="s">
        <v>145</v>
      </c>
      <c r="B1459" s="287">
        <v>4199</v>
      </c>
      <c r="C1459" s="288" t="s">
        <v>348</v>
      </c>
      <c r="D1459" s="289">
        <v>3875</v>
      </c>
    </row>
    <row r="1460" spans="1:4" ht="15" customHeight="1">
      <c r="A1460" s="290" t="s">
        <v>145</v>
      </c>
      <c r="B1460" s="291">
        <v>4210</v>
      </c>
      <c r="C1460" s="292" t="s">
        <v>349</v>
      </c>
      <c r="D1460" s="293">
        <v>225280</v>
      </c>
    </row>
    <row r="1461" spans="1:4" ht="15" customHeight="1">
      <c r="A1461" s="282" t="s">
        <v>145</v>
      </c>
      <c r="B1461" s="283">
        <v>4220</v>
      </c>
      <c r="C1461" s="284" t="s">
        <v>350</v>
      </c>
      <c r="D1461" s="285">
        <v>1000</v>
      </c>
    </row>
    <row r="1462" spans="1:4" ht="15" customHeight="1">
      <c r="A1462" s="282" t="s">
        <v>145</v>
      </c>
      <c r="B1462" s="283">
        <v>4260</v>
      </c>
      <c r="C1462" s="284" t="s">
        <v>351</v>
      </c>
      <c r="D1462" s="285">
        <v>121500</v>
      </c>
    </row>
    <row r="1463" spans="1:4" ht="15" customHeight="1">
      <c r="A1463" s="282" t="s">
        <v>145</v>
      </c>
      <c r="B1463" s="283">
        <v>4270</v>
      </c>
      <c r="C1463" s="284" t="s">
        <v>352</v>
      </c>
      <c r="D1463" s="285">
        <v>56186</v>
      </c>
    </row>
    <row r="1464" spans="1:4" ht="15" customHeight="1">
      <c r="A1464" s="282" t="s">
        <v>145</v>
      </c>
      <c r="B1464" s="283">
        <v>4280</v>
      </c>
      <c r="C1464" s="284" t="s">
        <v>373</v>
      </c>
      <c r="D1464" s="285">
        <v>2300</v>
      </c>
    </row>
    <row r="1465" spans="1:4" ht="15" customHeight="1">
      <c r="A1465" s="282" t="s">
        <v>145</v>
      </c>
      <c r="B1465" s="283">
        <v>4300</v>
      </c>
      <c r="C1465" s="284" t="s">
        <v>353</v>
      </c>
      <c r="D1465" s="285">
        <v>1707996</v>
      </c>
    </row>
    <row r="1466" spans="1:4" ht="15" customHeight="1">
      <c r="A1466" s="282" t="s">
        <v>145</v>
      </c>
      <c r="B1466" s="283">
        <v>4307</v>
      </c>
      <c r="C1466" s="284" t="s">
        <v>353</v>
      </c>
      <c r="D1466" s="285">
        <v>298406</v>
      </c>
    </row>
    <row r="1467" spans="1:4" ht="15" customHeight="1">
      <c r="A1467" s="282" t="s">
        <v>145</v>
      </c>
      <c r="B1467" s="283">
        <v>4309</v>
      </c>
      <c r="C1467" s="284" t="s">
        <v>353</v>
      </c>
      <c r="D1467" s="285">
        <v>70101</v>
      </c>
    </row>
    <row r="1468" spans="1:4" ht="15" customHeight="1">
      <c r="A1468" s="282" t="s">
        <v>145</v>
      </c>
      <c r="B1468" s="283">
        <v>4360</v>
      </c>
      <c r="C1468" s="284" t="s">
        <v>354</v>
      </c>
      <c r="D1468" s="285">
        <v>43800</v>
      </c>
    </row>
    <row r="1469" spans="1:4" ht="15" customHeight="1">
      <c r="A1469" s="282" t="s">
        <v>145</v>
      </c>
      <c r="B1469" s="283">
        <v>4380</v>
      </c>
      <c r="C1469" s="284" t="s">
        <v>355</v>
      </c>
      <c r="D1469" s="285">
        <v>2500</v>
      </c>
    </row>
    <row r="1470" spans="1:4" ht="15" customHeight="1">
      <c r="A1470" s="282" t="s">
        <v>145</v>
      </c>
      <c r="B1470" s="283">
        <v>4400</v>
      </c>
      <c r="C1470" s="284" t="s">
        <v>356</v>
      </c>
      <c r="D1470" s="285">
        <v>45172</v>
      </c>
    </row>
    <row r="1471" spans="1:4" ht="15" customHeight="1">
      <c r="A1471" s="282" t="s">
        <v>145</v>
      </c>
      <c r="B1471" s="283">
        <v>4410</v>
      </c>
      <c r="C1471" s="284" t="s">
        <v>357</v>
      </c>
      <c r="D1471" s="285">
        <v>4850</v>
      </c>
    </row>
    <row r="1472" spans="1:4" ht="15" customHeight="1">
      <c r="A1472" s="282" t="s">
        <v>145</v>
      </c>
      <c r="B1472" s="283">
        <v>4430</v>
      </c>
      <c r="C1472" s="284" t="s">
        <v>359</v>
      </c>
      <c r="D1472" s="285">
        <v>66904</v>
      </c>
    </row>
    <row r="1473" spans="1:4" ht="15" customHeight="1">
      <c r="A1473" s="282" t="s">
        <v>145</v>
      </c>
      <c r="B1473" s="283">
        <v>4440</v>
      </c>
      <c r="C1473" s="284" t="s">
        <v>375</v>
      </c>
      <c r="D1473" s="285">
        <v>70954</v>
      </c>
    </row>
    <row r="1474" spans="1:4" ht="15" customHeight="1">
      <c r="A1474" s="282" t="s">
        <v>145</v>
      </c>
      <c r="B1474" s="283">
        <v>4480</v>
      </c>
      <c r="C1474" s="284" t="s">
        <v>376</v>
      </c>
      <c r="D1474" s="285">
        <v>22817</v>
      </c>
    </row>
    <row r="1475" spans="1:4" ht="15" customHeight="1">
      <c r="A1475" s="282" t="s">
        <v>145</v>
      </c>
      <c r="B1475" s="283">
        <v>4500</v>
      </c>
      <c r="C1475" s="284" t="s">
        <v>377</v>
      </c>
      <c r="D1475" s="285">
        <v>1000</v>
      </c>
    </row>
    <row r="1476" spans="1:4" ht="15" customHeight="1">
      <c r="A1476" s="282" t="s">
        <v>145</v>
      </c>
      <c r="B1476" s="283">
        <v>4510</v>
      </c>
      <c r="C1476" s="284" t="s">
        <v>378</v>
      </c>
      <c r="D1476" s="285">
        <v>1502</v>
      </c>
    </row>
    <row r="1477" spans="1:4" ht="15" customHeight="1">
      <c r="A1477" s="282" t="s">
        <v>145</v>
      </c>
      <c r="B1477" s="283">
        <v>4520</v>
      </c>
      <c r="C1477" s="284" t="s">
        <v>379</v>
      </c>
      <c r="D1477" s="285">
        <v>500</v>
      </c>
    </row>
    <row r="1478" spans="1:4" ht="15" customHeight="1">
      <c r="A1478" s="282" t="s">
        <v>145</v>
      </c>
      <c r="B1478" s="283">
        <v>4700</v>
      </c>
      <c r="C1478" s="284" t="s">
        <v>360</v>
      </c>
      <c r="D1478" s="285">
        <v>7750</v>
      </c>
    </row>
    <row r="1479" spans="1:4" ht="15" customHeight="1">
      <c r="A1479" s="282" t="s">
        <v>145</v>
      </c>
      <c r="B1479" s="283">
        <v>6050</v>
      </c>
      <c r="C1479" s="284" t="s">
        <v>370</v>
      </c>
      <c r="D1479" s="285">
        <v>4784</v>
      </c>
    </row>
    <row r="1480" spans="1:4" ht="15" customHeight="1">
      <c r="A1480" s="282" t="s">
        <v>145</v>
      </c>
      <c r="B1480" s="283">
        <v>6057</v>
      </c>
      <c r="C1480" s="284" t="s">
        <v>370</v>
      </c>
      <c r="D1480" s="285">
        <v>5775843</v>
      </c>
    </row>
    <row r="1481" spans="1:4" ht="15" customHeight="1">
      <c r="A1481" s="282" t="s">
        <v>145</v>
      </c>
      <c r="B1481" s="283">
        <v>6059</v>
      </c>
      <c r="C1481" s="284" t="s">
        <v>370</v>
      </c>
      <c r="D1481" s="285">
        <v>1004010</v>
      </c>
    </row>
    <row r="1482" spans="1:4" s="277" customFormat="1" ht="15" customHeight="1">
      <c r="A1482" s="273" t="s">
        <v>406</v>
      </c>
      <c r="B1482" s="274" t="s">
        <v>145</v>
      </c>
      <c r="C1482" s="275" t="s">
        <v>407</v>
      </c>
      <c r="D1482" s="276">
        <f>D1483</f>
        <v>6720000</v>
      </c>
    </row>
    <row r="1483" spans="1:4" s="277" customFormat="1" ht="15" customHeight="1">
      <c r="A1483" s="278">
        <v>92605</v>
      </c>
      <c r="B1483" s="279" t="s">
        <v>145</v>
      </c>
      <c r="C1483" s="280" t="s">
        <v>332</v>
      </c>
      <c r="D1483" s="281">
        <f>SUM(D1484:D1493)</f>
        <v>6720000</v>
      </c>
    </row>
    <row r="1484" spans="1:4" ht="39.75" customHeight="1">
      <c r="A1484" s="282" t="s">
        <v>145</v>
      </c>
      <c r="B1484" s="283">
        <v>2360</v>
      </c>
      <c r="C1484" s="284" t="s">
        <v>383</v>
      </c>
      <c r="D1484" s="285">
        <v>3700000</v>
      </c>
    </row>
    <row r="1485" spans="1:4" ht="15" customHeight="1">
      <c r="A1485" s="282" t="s">
        <v>145</v>
      </c>
      <c r="B1485" s="283">
        <v>3040</v>
      </c>
      <c r="C1485" s="284" t="s">
        <v>387</v>
      </c>
      <c r="D1485" s="285">
        <v>350000</v>
      </c>
    </row>
    <row r="1486" spans="1:4" ht="15" customHeight="1">
      <c r="A1486" s="282" t="s">
        <v>145</v>
      </c>
      <c r="B1486" s="283">
        <v>3250</v>
      </c>
      <c r="C1486" s="284" t="s">
        <v>405</v>
      </c>
      <c r="D1486" s="285">
        <v>420000</v>
      </c>
    </row>
    <row r="1487" spans="1:4" ht="15" customHeight="1">
      <c r="A1487" s="282" t="s">
        <v>145</v>
      </c>
      <c r="B1487" s="283">
        <v>4170</v>
      </c>
      <c r="C1487" s="284" t="s">
        <v>347</v>
      </c>
      <c r="D1487" s="285">
        <v>3000</v>
      </c>
    </row>
    <row r="1488" spans="1:4" ht="15" customHeight="1">
      <c r="A1488" s="282" t="s">
        <v>145</v>
      </c>
      <c r="B1488" s="283">
        <v>4190</v>
      </c>
      <c r="C1488" s="284" t="s">
        <v>348</v>
      </c>
      <c r="D1488" s="285">
        <v>23000</v>
      </c>
    </row>
    <row r="1489" spans="1:4" ht="15" customHeight="1">
      <c r="A1489" s="282" t="s">
        <v>145</v>
      </c>
      <c r="B1489" s="283">
        <v>4210</v>
      </c>
      <c r="C1489" s="284" t="s">
        <v>349</v>
      </c>
      <c r="D1489" s="285">
        <v>40000</v>
      </c>
    </row>
    <row r="1490" spans="1:4" ht="15" customHeight="1">
      <c r="A1490" s="282" t="s">
        <v>145</v>
      </c>
      <c r="B1490" s="283">
        <v>4220</v>
      </c>
      <c r="C1490" s="284" t="s">
        <v>350</v>
      </c>
      <c r="D1490" s="285">
        <v>2000</v>
      </c>
    </row>
    <row r="1491" spans="1:4" ht="15" customHeight="1">
      <c r="A1491" s="282" t="s">
        <v>145</v>
      </c>
      <c r="B1491" s="283">
        <v>4300</v>
      </c>
      <c r="C1491" s="284" t="s">
        <v>353</v>
      </c>
      <c r="D1491" s="285">
        <v>180000</v>
      </c>
    </row>
    <row r="1492" spans="1:4" ht="15" customHeight="1">
      <c r="A1492" s="282" t="s">
        <v>145</v>
      </c>
      <c r="B1492" s="283">
        <v>4700</v>
      </c>
      <c r="C1492" s="284" t="s">
        <v>360</v>
      </c>
      <c r="D1492" s="285">
        <v>2000</v>
      </c>
    </row>
    <row r="1493" spans="1:4" ht="28.5" customHeight="1">
      <c r="A1493" s="286" t="s">
        <v>145</v>
      </c>
      <c r="B1493" s="287">
        <v>6300</v>
      </c>
      <c r="C1493" s="288" t="s">
        <v>340</v>
      </c>
      <c r="D1493" s="289">
        <v>2000000</v>
      </c>
    </row>
  </sheetData>
  <sheetProtection password="C25B" sheet="1"/>
  <mergeCells count="2">
    <mergeCell ref="A6:D6"/>
    <mergeCell ref="A7:D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zoomScalePageLayoutView="0" workbookViewId="0" topLeftCell="A25">
      <selection activeCell="C32" sqref="C32"/>
    </sheetView>
  </sheetViews>
  <sheetFormatPr defaultColWidth="16.796875" defaultRowHeight="14.25"/>
  <cols>
    <col min="1" max="1" width="5.69921875" style="299" customWidth="1"/>
    <col min="2" max="2" width="5.8984375" style="299" customWidth="1"/>
    <col min="3" max="3" width="52.8984375" style="299" customWidth="1"/>
    <col min="4" max="4" width="32.19921875" style="392" customWidth="1"/>
    <col min="5" max="5" width="16.3984375" style="299" customWidth="1"/>
    <col min="6" max="250" width="10.3984375" style="299" customWidth="1"/>
    <col min="251" max="251" width="5.69921875" style="299" customWidth="1"/>
    <col min="252" max="252" width="5.8984375" style="299" customWidth="1"/>
    <col min="253" max="253" width="34.09765625" style="299" customWidth="1"/>
    <col min="254" max="254" width="16.19921875" style="299" customWidth="1"/>
    <col min="255" max="16384" width="16.69921875" style="299" customWidth="1"/>
  </cols>
  <sheetData>
    <row r="1" spans="4:5" ht="15" customHeight="1">
      <c r="D1" s="300" t="s">
        <v>410</v>
      </c>
      <c r="E1" s="301"/>
    </row>
    <row r="2" spans="4:5" ht="15" customHeight="1">
      <c r="D2" s="302" t="s">
        <v>463</v>
      </c>
      <c r="E2" s="303"/>
    </row>
    <row r="3" spans="1:5" ht="15" customHeight="1">
      <c r="A3" s="304"/>
      <c r="B3" s="304"/>
      <c r="C3" s="304"/>
      <c r="D3" s="302" t="s">
        <v>464</v>
      </c>
      <c r="E3" s="303"/>
    </row>
    <row r="4" spans="1:5" ht="6.75" customHeight="1">
      <c r="A4" s="304"/>
      <c r="B4" s="304"/>
      <c r="C4" s="304"/>
      <c r="D4" s="302"/>
      <c r="E4" s="303"/>
    </row>
    <row r="5" spans="1:4" s="305" customFormat="1" ht="20.25" customHeight="1">
      <c r="A5" s="953" t="s">
        <v>411</v>
      </c>
      <c r="B5" s="953"/>
      <c r="C5" s="953"/>
      <c r="D5" s="953"/>
    </row>
    <row r="6" spans="1:4" s="305" customFormat="1" ht="20.25" customHeight="1">
      <c r="A6" s="953" t="s">
        <v>200</v>
      </c>
      <c r="B6" s="953"/>
      <c r="C6" s="953"/>
      <c r="D6" s="953"/>
    </row>
    <row r="7" spans="1:4" s="305" customFormat="1" ht="6" customHeight="1">
      <c r="A7" s="954"/>
      <c r="B7" s="954"/>
      <c r="C7" s="954"/>
      <c r="D7" s="306"/>
    </row>
    <row r="8" spans="1:4" s="305" customFormat="1" ht="5.25" customHeight="1" thickBot="1">
      <c r="A8" s="955"/>
      <c r="B8" s="955"/>
      <c r="C8" s="955"/>
      <c r="D8" s="306"/>
    </row>
    <row r="9" spans="1:4" s="307" customFormat="1" ht="18.75" customHeight="1">
      <c r="A9" s="956" t="s">
        <v>412</v>
      </c>
      <c r="B9" s="956" t="s">
        <v>105</v>
      </c>
      <c r="C9" s="958" t="s">
        <v>413</v>
      </c>
      <c r="D9" s="960" t="s">
        <v>414</v>
      </c>
    </row>
    <row r="10" spans="1:4" s="308" customFormat="1" ht="19.5" customHeight="1" thickBot="1">
      <c r="A10" s="957"/>
      <c r="B10" s="957"/>
      <c r="C10" s="959"/>
      <c r="D10" s="961"/>
    </row>
    <row r="11" spans="1:4" s="313" customFormat="1" ht="13.5" thickBot="1">
      <c r="A11" s="309">
        <v>1</v>
      </c>
      <c r="B11" s="310">
        <v>2</v>
      </c>
      <c r="C11" s="311">
        <v>3</v>
      </c>
      <c r="D11" s="312">
        <v>4</v>
      </c>
    </row>
    <row r="12" spans="1:4" s="313" customFormat="1" ht="15" customHeight="1" thickBot="1">
      <c r="A12" s="314"/>
      <c r="B12" s="315"/>
      <c r="C12" s="315"/>
      <c r="D12" s="316"/>
    </row>
    <row r="13" spans="1:4" s="321" customFormat="1" ht="21.75" customHeight="1" thickBot="1">
      <c r="A13" s="317">
        <v>1</v>
      </c>
      <c r="B13" s="318"/>
      <c r="C13" s="319" t="s">
        <v>415</v>
      </c>
      <c r="D13" s="320">
        <f>D15+D14</f>
        <v>1106737908</v>
      </c>
    </row>
    <row r="14" spans="1:4" s="326" customFormat="1" ht="21.75" customHeight="1" thickBot="1">
      <c r="A14" s="322" t="s">
        <v>416</v>
      </c>
      <c r="B14" s="323"/>
      <c r="C14" s="324" t="s">
        <v>417</v>
      </c>
      <c r="D14" s="325">
        <f>771792966</f>
        <v>771792966</v>
      </c>
    </row>
    <row r="15" spans="1:4" s="326" customFormat="1" ht="21.75" customHeight="1" thickBot="1">
      <c r="A15" s="322" t="s">
        <v>418</v>
      </c>
      <c r="B15" s="323"/>
      <c r="C15" s="324" t="s">
        <v>419</v>
      </c>
      <c r="D15" s="325">
        <v>334944942</v>
      </c>
    </row>
    <row r="16" spans="1:4" s="321" customFormat="1" ht="21.75" customHeight="1" thickBot="1">
      <c r="A16" s="317">
        <v>2</v>
      </c>
      <c r="B16" s="318"/>
      <c r="C16" s="319" t="s">
        <v>420</v>
      </c>
      <c r="D16" s="320">
        <f>D17+D20</f>
        <v>56480952</v>
      </c>
    </row>
    <row r="17" spans="1:4" s="331" customFormat="1" ht="21.75" customHeight="1">
      <c r="A17" s="327" t="s">
        <v>421</v>
      </c>
      <c r="B17" s="328">
        <v>952</v>
      </c>
      <c r="C17" s="329" t="s">
        <v>422</v>
      </c>
      <c r="D17" s="330">
        <f>D18+D19</f>
        <v>54387291</v>
      </c>
    </row>
    <row r="18" spans="1:4" s="313" customFormat="1" ht="21.75" customHeight="1">
      <c r="A18" s="332" t="s">
        <v>423</v>
      </c>
      <c r="B18" s="333"/>
      <c r="C18" s="334" t="s">
        <v>424</v>
      </c>
      <c r="D18" s="335">
        <v>34387291</v>
      </c>
    </row>
    <row r="19" spans="1:4" s="313" customFormat="1" ht="23.25" customHeight="1">
      <c r="A19" s="336" t="s">
        <v>425</v>
      </c>
      <c r="B19" s="337"/>
      <c r="C19" s="338" t="s">
        <v>426</v>
      </c>
      <c r="D19" s="339">
        <v>20000000</v>
      </c>
    </row>
    <row r="20" spans="1:4" s="331" customFormat="1" ht="21.75" customHeight="1" thickBot="1">
      <c r="A20" s="327" t="s">
        <v>427</v>
      </c>
      <c r="B20" s="328">
        <v>950</v>
      </c>
      <c r="C20" s="329" t="s">
        <v>428</v>
      </c>
      <c r="D20" s="330">
        <v>2093661</v>
      </c>
    </row>
    <row r="21" spans="1:4" s="344" customFormat="1" ht="21.75" customHeight="1" thickBot="1">
      <c r="A21" s="340">
        <v>3</v>
      </c>
      <c r="B21" s="341"/>
      <c r="C21" s="342" t="s">
        <v>429</v>
      </c>
      <c r="D21" s="343">
        <f>D13+D16</f>
        <v>1163218860</v>
      </c>
    </row>
    <row r="22" spans="1:4" ht="15" customHeight="1" thickBot="1">
      <c r="A22" s="345"/>
      <c r="B22" s="346"/>
      <c r="C22" s="347"/>
      <c r="D22" s="348"/>
    </row>
    <row r="23" spans="1:4" s="353" customFormat="1" ht="21.75" customHeight="1" thickBot="1">
      <c r="A23" s="349">
        <v>4</v>
      </c>
      <c r="B23" s="350"/>
      <c r="C23" s="351" t="s">
        <v>430</v>
      </c>
      <c r="D23" s="352">
        <f>D24+D27</f>
        <v>1126737908</v>
      </c>
    </row>
    <row r="24" spans="1:4" s="326" customFormat="1" ht="21.75" customHeight="1" thickBot="1">
      <c r="A24" s="322" t="s">
        <v>431</v>
      </c>
      <c r="B24" s="323"/>
      <c r="C24" s="324" t="s">
        <v>432</v>
      </c>
      <c r="D24" s="325">
        <f>D25+D26</f>
        <v>650633391</v>
      </c>
    </row>
    <row r="25" spans="1:4" s="358" customFormat="1" ht="21.75" customHeight="1" thickBot="1">
      <c r="A25" s="354" t="s">
        <v>433</v>
      </c>
      <c r="B25" s="355"/>
      <c r="C25" s="356" t="s">
        <v>434</v>
      </c>
      <c r="D25" s="357">
        <v>609112340</v>
      </c>
    </row>
    <row r="26" spans="1:4" s="358" customFormat="1" ht="23.25" customHeight="1" thickBot="1">
      <c r="A26" s="354" t="s">
        <v>435</v>
      </c>
      <c r="B26" s="355"/>
      <c r="C26" s="356" t="s">
        <v>436</v>
      </c>
      <c r="D26" s="357">
        <v>41521051</v>
      </c>
    </row>
    <row r="27" spans="1:4" s="326" customFormat="1" ht="21.75" customHeight="1" thickBot="1">
      <c r="A27" s="322" t="s">
        <v>437</v>
      </c>
      <c r="B27" s="323"/>
      <c r="C27" s="324" t="s">
        <v>438</v>
      </c>
      <c r="D27" s="325">
        <v>476104517</v>
      </c>
    </row>
    <row r="28" spans="1:4" s="321" customFormat="1" ht="21.75" customHeight="1" thickBot="1">
      <c r="A28" s="317">
        <v>5</v>
      </c>
      <c r="B28" s="318"/>
      <c r="C28" s="319" t="s">
        <v>439</v>
      </c>
      <c r="D28" s="320">
        <f>D29</f>
        <v>36480952</v>
      </c>
    </row>
    <row r="29" spans="1:4" ht="21.75" customHeight="1" thickBot="1">
      <c r="A29" s="359" t="s">
        <v>440</v>
      </c>
      <c r="B29" s="360">
        <v>992</v>
      </c>
      <c r="C29" s="361" t="s">
        <v>441</v>
      </c>
      <c r="D29" s="362">
        <v>36480952</v>
      </c>
    </row>
    <row r="30" spans="1:4" s="344" customFormat="1" ht="21.75" customHeight="1" thickBot="1">
      <c r="A30" s="340">
        <v>6</v>
      </c>
      <c r="B30" s="341"/>
      <c r="C30" s="342" t="s">
        <v>442</v>
      </c>
      <c r="D30" s="343">
        <f>D23+D28</f>
        <v>1163218860</v>
      </c>
    </row>
    <row r="31" spans="1:4" s="344" customFormat="1" ht="15" customHeight="1" thickBot="1">
      <c r="A31" s="363"/>
      <c r="B31" s="341"/>
      <c r="C31" s="342"/>
      <c r="D31" s="343"/>
    </row>
    <row r="32" spans="1:4" s="321" customFormat="1" ht="21.75" customHeight="1" thickBot="1">
      <c r="A32" s="317">
        <v>7</v>
      </c>
      <c r="B32" s="318"/>
      <c r="C32" s="319" t="s">
        <v>443</v>
      </c>
      <c r="D32" s="343">
        <f>D21-D30</f>
        <v>0</v>
      </c>
    </row>
    <row r="33" spans="1:4" s="321" customFormat="1" ht="15" customHeight="1" thickBot="1">
      <c r="A33" s="364"/>
      <c r="B33" s="365"/>
      <c r="C33" s="366"/>
      <c r="D33" s="367"/>
    </row>
    <row r="34" spans="1:4" s="321" customFormat="1" ht="21.75" customHeight="1" thickBot="1">
      <c r="A34" s="317">
        <v>8</v>
      </c>
      <c r="B34" s="318"/>
      <c r="C34" s="319" t="s">
        <v>444</v>
      </c>
      <c r="D34" s="320">
        <f>D13-D23</f>
        <v>-20000000</v>
      </c>
    </row>
    <row r="35" spans="1:4" s="321" customFormat="1" ht="15" customHeight="1" thickBot="1">
      <c r="A35" s="364"/>
      <c r="B35" s="365"/>
      <c r="C35" s="366"/>
      <c r="D35" s="367"/>
    </row>
    <row r="36" spans="1:4" s="321" customFormat="1" ht="21.75" customHeight="1" thickBot="1">
      <c r="A36" s="317">
        <v>9</v>
      </c>
      <c r="B36" s="318"/>
      <c r="C36" s="319" t="s">
        <v>445</v>
      </c>
      <c r="D36" s="343">
        <f>D37+D38</f>
        <v>20000000</v>
      </c>
    </row>
    <row r="37" spans="1:4" ht="21.75" customHeight="1" thickBot="1">
      <c r="A37" s="368" t="s">
        <v>446</v>
      </c>
      <c r="B37" s="369"/>
      <c r="C37" s="370" t="s">
        <v>447</v>
      </c>
      <c r="D37" s="371">
        <f>D19</f>
        <v>20000000</v>
      </c>
    </row>
    <row r="38" spans="1:4" ht="21.75" customHeight="1" hidden="1" thickBot="1">
      <c r="A38" s="368" t="s">
        <v>448</v>
      </c>
      <c r="B38" s="369"/>
      <c r="C38" s="329" t="s">
        <v>428</v>
      </c>
      <c r="D38" s="371">
        <v>0</v>
      </c>
    </row>
    <row r="39" spans="1:4" ht="5.25" customHeight="1">
      <c r="A39" s="372"/>
      <c r="B39" s="373"/>
      <c r="C39" s="374"/>
      <c r="D39" s="375"/>
    </row>
    <row r="40" spans="1:4" s="344" customFormat="1" ht="14.25" customHeight="1">
      <c r="A40" s="948" t="s">
        <v>449</v>
      </c>
      <c r="B40" s="949"/>
      <c r="C40" s="950"/>
      <c r="D40" s="376"/>
    </row>
    <row r="41" spans="1:4" ht="15" customHeight="1">
      <c r="A41" s="942" t="s">
        <v>450</v>
      </c>
      <c r="B41" s="943"/>
      <c r="C41" s="943"/>
      <c r="D41" s="377">
        <f>D14</f>
        <v>771792966</v>
      </c>
    </row>
    <row r="42" spans="1:4" ht="15" customHeight="1">
      <c r="A42" s="942" t="s">
        <v>451</v>
      </c>
      <c r="B42" s="943"/>
      <c r="C42" s="943"/>
      <c r="D42" s="377">
        <f>D24</f>
        <v>650633391</v>
      </c>
    </row>
    <row r="43" spans="1:4" s="344" customFormat="1" ht="16.5" customHeight="1">
      <c r="A43" s="951" t="s">
        <v>452</v>
      </c>
      <c r="B43" s="952"/>
      <c r="C43" s="952"/>
      <c r="D43" s="378">
        <f>D41-D42</f>
        <v>121159575</v>
      </c>
    </row>
    <row r="44" spans="1:4" s="344" customFormat="1" ht="9.75" customHeight="1" thickBot="1">
      <c r="A44" s="379"/>
      <c r="B44" s="380"/>
      <c r="C44" s="381"/>
      <c r="D44" s="382"/>
    </row>
    <row r="45" spans="1:4" s="307" customFormat="1" ht="6" customHeight="1">
      <c r="A45" s="383"/>
      <c r="B45" s="384"/>
      <c r="C45" s="385"/>
      <c r="D45" s="386"/>
    </row>
    <row r="46" spans="1:4" s="307" customFormat="1" ht="15" customHeight="1">
      <c r="A46" s="946" t="s">
        <v>453</v>
      </c>
      <c r="B46" s="947"/>
      <c r="C46" s="947"/>
      <c r="D46" s="386">
        <f>D13</f>
        <v>1106737908</v>
      </c>
    </row>
    <row r="47" spans="1:4" ht="15" customHeight="1">
      <c r="A47" s="942" t="s">
        <v>454</v>
      </c>
      <c r="B47" s="943"/>
      <c r="C47" s="943"/>
      <c r="D47" s="377">
        <f>D25</f>
        <v>609112340</v>
      </c>
    </row>
    <row r="48" spans="1:4" ht="15" customHeight="1">
      <c r="A48" s="942" t="s">
        <v>455</v>
      </c>
      <c r="B48" s="943"/>
      <c r="C48" s="943"/>
      <c r="D48" s="377">
        <f>D20</f>
        <v>2093661</v>
      </c>
    </row>
    <row r="49" spans="1:4" ht="15.75" customHeight="1">
      <c r="A49" s="946" t="s">
        <v>456</v>
      </c>
      <c r="B49" s="947"/>
      <c r="C49" s="947"/>
      <c r="D49" s="377">
        <f>D46-D47+D48</f>
        <v>499719229</v>
      </c>
    </row>
    <row r="50" spans="1:4" ht="25.5" customHeight="1">
      <c r="A50" s="942" t="s">
        <v>457</v>
      </c>
      <c r="B50" s="943"/>
      <c r="C50" s="943"/>
      <c r="D50" s="377">
        <f>D26+D29</f>
        <v>78002003</v>
      </c>
    </row>
    <row r="51" spans="1:4" ht="15" customHeight="1">
      <c r="A51" s="946" t="s">
        <v>458</v>
      </c>
      <c r="B51" s="947"/>
      <c r="C51" s="947"/>
      <c r="D51" s="377">
        <f>D49-D50</f>
        <v>421717226</v>
      </c>
    </row>
    <row r="52" spans="1:4" ht="15" customHeight="1">
      <c r="A52" s="942" t="s">
        <v>459</v>
      </c>
      <c r="B52" s="943"/>
      <c r="C52" s="943"/>
      <c r="D52" s="377">
        <f>D27</f>
        <v>476104517</v>
      </c>
    </row>
    <row r="53" spans="1:4" ht="15" customHeight="1">
      <c r="A53" s="946" t="s">
        <v>460</v>
      </c>
      <c r="B53" s="947"/>
      <c r="C53" s="947"/>
      <c r="D53" s="377">
        <f>D51-D52</f>
        <v>-54387291</v>
      </c>
    </row>
    <row r="54" spans="1:4" ht="15" customHeight="1">
      <c r="A54" s="942" t="s">
        <v>461</v>
      </c>
      <c r="B54" s="943"/>
      <c r="C54" s="943"/>
      <c r="D54" s="377">
        <f>D17</f>
        <v>54387291</v>
      </c>
    </row>
    <row r="55" spans="1:4" ht="14.25" customHeight="1" thickBot="1">
      <c r="A55" s="944" t="s">
        <v>462</v>
      </c>
      <c r="B55" s="945"/>
      <c r="C55" s="945"/>
      <c r="D55" s="387">
        <f>D53+D54</f>
        <v>0</v>
      </c>
    </row>
    <row r="56" spans="1:4" ht="6.75" customHeight="1" hidden="1" thickBot="1">
      <c r="A56" s="388"/>
      <c r="B56" s="389"/>
      <c r="C56" s="390"/>
      <c r="D56" s="391"/>
    </row>
  </sheetData>
  <sheetProtection password="C25B" sheet="1"/>
  <mergeCells count="22">
    <mergeCell ref="A5:D5"/>
    <mergeCell ref="A6:D6"/>
    <mergeCell ref="A7:C7"/>
    <mergeCell ref="A8:C8"/>
    <mergeCell ref="A9:A10"/>
    <mergeCell ref="B9:B10"/>
    <mergeCell ref="C9:C10"/>
    <mergeCell ref="D9:D10"/>
    <mergeCell ref="A40:C40"/>
    <mergeCell ref="A41:C41"/>
    <mergeCell ref="A42:C42"/>
    <mergeCell ref="A43:C43"/>
    <mergeCell ref="A46:C46"/>
    <mergeCell ref="A47:C47"/>
    <mergeCell ref="A54:C54"/>
    <mergeCell ref="A55:C55"/>
    <mergeCell ref="A48:C48"/>
    <mergeCell ref="A49:C49"/>
    <mergeCell ref="A50:C50"/>
    <mergeCell ref="A51:C51"/>
    <mergeCell ref="A52:C52"/>
    <mergeCell ref="A53:C53"/>
  </mergeCells>
  <printOptions horizontalCentered="1"/>
  <pageMargins left="0.5118110236220472" right="0.5118110236220472" top="0.984251968503937" bottom="0.7480314960629921" header="0.31496062992125984" footer="0.31496062992125984"/>
  <pageSetup horizontalDpi="300" verticalDpi="3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2"/>
  <sheetViews>
    <sheetView view="pageBreakPreview" zoomScaleSheetLayoutView="100" zoomScalePageLayoutView="0" workbookViewId="0" topLeftCell="E145">
      <selection activeCell="H172" sqref="H172"/>
    </sheetView>
  </sheetViews>
  <sheetFormatPr defaultColWidth="8.796875" defaultRowHeight="14.25"/>
  <cols>
    <col min="1" max="1" width="5.3984375" style="408" customWidth="1"/>
    <col min="2" max="2" width="8.09765625" style="408" customWidth="1"/>
    <col min="3" max="3" width="9.3984375" style="408" customWidth="1"/>
    <col min="4" max="4" width="43.8984375" style="408" customWidth="1"/>
    <col min="5" max="5" width="10.69921875" style="408" customWidth="1"/>
    <col min="6" max="6" width="10.3984375" style="408" customWidth="1"/>
    <col min="7" max="7" width="11" style="408" customWidth="1"/>
    <col min="8" max="9" width="14.19921875" style="408" customWidth="1"/>
    <col min="10" max="10" width="11.3984375" style="408" customWidth="1"/>
    <col min="11" max="11" width="11.19921875" style="408" customWidth="1"/>
    <col min="12" max="12" width="10.69921875" style="408" customWidth="1"/>
    <col min="13" max="13" width="10.8984375" style="408" customWidth="1"/>
    <col min="14" max="14" width="11.19921875" style="408" customWidth="1"/>
    <col min="15" max="15" width="11.3984375" style="408" customWidth="1"/>
    <col min="16" max="20" width="11.09765625" style="408" customWidth="1"/>
    <col min="21" max="21" width="11.3984375" style="408" customWidth="1"/>
    <col min="22" max="22" width="11.19921875" style="408" customWidth="1"/>
    <col min="23" max="23" width="11.09765625" style="408" customWidth="1"/>
    <col min="24" max="16384" width="9" style="408" customWidth="1"/>
  </cols>
  <sheetData>
    <row r="1" spans="1:22" s="394" customFormat="1" ht="15.75">
      <c r="A1" s="393" t="s">
        <v>145</v>
      </c>
      <c r="U1" s="395" t="s">
        <v>691</v>
      </c>
      <c r="V1" s="395"/>
    </row>
    <row r="2" spans="1:22" s="394" customFormat="1" ht="15.75">
      <c r="A2" s="393"/>
      <c r="U2" s="395" t="s">
        <v>465</v>
      </c>
      <c r="V2" s="395"/>
    </row>
    <row r="3" spans="1:22" s="394" customFormat="1" ht="15.75">
      <c r="A3" s="393"/>
      <c r="U3" s="395" t="s">
        <v>692</v>
      </c>
      <c r="V3" s="395"/>
    </row>
    <row r="4" s="394" customFormat="1" ht="8.25" customHeight="1">
      <c r="A4" s="393"/>
    </row>
    <row r="5" spans="1:23" s="394" customFormat="1" ht="42.75" customHeight="1">
      <c r="A5" s="1024" t="s">
        <v>466</v>
      </c>
      <c r="B5" s="1024"/>
      <c r="C5" s="1024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</row>
    <row r="6" spans="1:21" s="394" customFormat="1" ht="9" customHeight="1">
      <c r="A6" s="396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</row>
    <row r="7" spans="1:23" s="394" customFormat="1" ht="19.5" customHeight="1">
      <c r="A7" s="1025" t="s">
        <v>467</v>
      </c>
      <c r="B7" s="1014" t="s">
        <v>468</v>
      </c>
      <c r="C7" s="1014" t="s">
        <v>469</v>
      </c>
      <c r="D7" s="1017" t="s">
        <v>470</v>
      </c>
      <c r="E7" s="1017" t="s">
        <v>471</v>
      </c>
      <c r="F7" s="1014" t="s">
        <v>472</v>
      </c>
      <c r="G7" s="1017" t="s">
        <v>473</v>
      </c>
      <c r="H7" s="1020" t="s">
        <v>474</v>
      </c>
      <c r="I7" s="1021" t="s">
        <v>475</v>
      </c>
      <c r="J7" s="966" t="s">
        <v>476</v>
      </c>
      <c r="K7" s="966"/>
      <c r="L7" s="966"/>
      <c r="M7" s="966"/>
      <c r="N7" s="966"/>
      <c r="O7" s="966"/>
      <c r="P7" s="966"/>
      <c r="Q7" s="966"/>
      <c r="R7" s="966"/>
      <c r="S7" s="966"/>
      <c r="T7" s="966"/>
      <c r="U7" s="966"/>
      <c r="V7" s="966"/>
      <c r="W7" s="966"/>
    </row>
    <row r="8" spans="1:23" s="397" customFormat="1" ht="18.75" customHeight="1">
      <c r="A8" s="1026"/>
      <c r="B8" s="1015"/>
      <c r="C8" s="1015"/>
      <c r="D8" s="1018"/>
      <c r="E8" s="1018"/>
      <c r="F8" s="1015"/>
      <c r="G8" s="1018"/>
      <c r="H8" s="1020"/>
      <c r="I8" s="1021"/>
      <c r="J8" s="966"/>
      <c r="K8" s="966"/>
      <c r="L8" s="966"/>
      <c r="M8" s="966"/>
      <c r="N8" s="966"/>
      <c r="O8" s="966"/>
      <c r="P8" s="966"/>
      <c r="Q8" s="966"/>
      <c r="R8" s="966"/>
      <c r="S8" s="966"/>
      <c r="T8" s="966"/>
      <c r="U8" s="966"/>
      <c r="V8" s="966"/>
      <c r="W8" s="966"/>
    </row>
    <row r="9" spans="1:23" s="397" customFormat="1" ht="15.75" customHeight="1">
      <c r="A9" s="1026"/>
      <c r="B9" s="1015"/>
      <c r="C9" s="1015"/>
      <c r="D9" s="1018"/>
      <c r="E9" s="1018"/>
      <c r="F9" s="1015"/>
      <c r="G9" s="1018"/>
      <c r="H9" s="398" t="s">
        <v>477</v>
      </c>
      <c r="I9" s="398" t="s">
        <v>477</v>
      </c>
      <c r="J9" s="966" t="s">
        <v>478</v>
      </c>
      <c r="K9" s="1028" t="s">
        <v>479</v>
      </c>
      <c r="L9" s="1028"/>
      <c r="M9" s="1028"/>
      <c r="N9" s="1022" t="s">
        <v>480</v>
      </c>
      <c r="O9" s="1028" t="s">
        <v>481</v>
      </c>
      <c r="P9" s="1028"/>
      <c r="Q9" s="1028"/>
      <c r="R9" s="1028"/>
      <c r="S9" s="1028"/>
      <c r="T9" s="1028"/>
      <c r="U9" s="1028"/>
      <c r="V9" s="1028"/>
      <c r="W9" s="1028"/>
    </row>
    <row r="10" spans="1:23" s="397" customFormat="1" ht="12.75" customHeight="1">
      <c r="A10" s="1026"/>
      <c r="B10" s="1015"/>
      <c r="C10" s="1015"/>
      <c r="D10" s="1018"/>
      <c r="E10" s="1018"/>
      <c r="F10" s="1015"/>
      <c r="G10" s="1018"/>
      <c r="H10" s="398" t="s">
        <v>482</v>
      </c>
      <c r="I10" s="398" t="s">
        <v>482</v>
      </c>
      <c r="J10" s="966"/>
      <c r="K10" s="1028"/>
      <c r="L10" s="1028"/>
      <c r="M10" s="1028"/>
      <c r="N10" s="1022"/>
      <c r="O10" s="1010" t="s">
        <v>483</v>
      </c>
      <c r="P10" s="1010"/>
      <c r="Q10" s="1010"/>
      <c r="R10" s="1010" t="s">
        <v>484</v>
      </c>
      <c r="S10" s="1010"/>
      <c r="T10" s="1010"/>
      <c r="U10" s="1022" t="s">
        <v>485</v>
      </c>
      <c r="V10" s="1022"/>
      <c r="W10" s="1022"/>
    </row>
    <row r="11" spans="1:23" s="397" customFormat="1" ht="12.75">
      <c r="A11" s="1026"/>
      <c r="B11" s="1015"/>
      <c r="C11" s="1015"/>
      <c r="D11" s="1018"/>
      <c r="E11" s="1018"/>
      <c r="F11" s="1015"/>
      <c r="G11" s="1018"/>
      <c r="H11" s="398" t="s">
        <v>486</v>
      </c>
      <c r="I11" s="398" t="s">
        <v>486</v>
      </c>
      <c r="J11" s="966"/>
      <c r="K11" s="1010" t="s">
        <v>73</v>
      </c>
      <c r="L11" s="1010" t="s">
        <v>487</v>
      </c>
      <c r="M11" s="1010" t="s">
        <v>488</v>
      </c>
      <c r="N11" s="1022"/>
      <c r="O11" s="1010" t="s">
        <v>73</v>
      </c>
      <c r="P11" s="1010" t="s">
        <v>489</v>
      </c>
      <c r="Q11" s="1013" t="s">
        <v>488</v>
      </c>
      <c r="R11" s="1010" t="s">
        <v>73</v>
      </c>
      <c r="S11" s="1010" t="s">
        <v>489</v>
      </c>
      <c r="T11" s="1023" t="s">
        <v>488</v>
      </c>
      <c r="U11" s="1022" t="s">
        <v>490</v>
      </c>
      <c r="V11" s="1010" t="s">
        <v>489</v>
      </c>
      <c r="W11" s="1023" t="s">
        <v>488</v>
      </c>
    </row>
    <row r="12" spans="1:23" s="397" customFormat="1" ht="12.75">
      <c r="A12" s="1027"/>
      <c r="B12" s="1016"/>
      <c r="C12" s="1016"/>
      <c r="D12" s="1019"/>
      <c r="E12" s="1019"/>
      <c r="F12" s="1016"/>
      <c r="G12" s="1019"/>
      <c r="H12" s="398" t="s">
        <v>485</v>
      </c>
      <c r="I12" s="398" t="s">
        <v>485</v>
      </c>
      <c r="J12" s="966"/>
      <c r="K12" s="1010"/>
      <c r="L12" s="1010"/>
      <c r="M12" s="1010"/>
      <c r="N12" s="1022"/>
      <c r="O12" s="1010"/>
      <c r="P12" s="1010"/>
      <c r="Q12" s="1013"/>
      <c r="R12" s="1010"/>
      <c r="S12" s="1010"/>
      <c r="T12" s="1023"/>
      <c r="U12" s="1022"/>
      <c r="V12" s="1010"/>
      <c r="W12" s="1023"/>
    </row>
    <row r="13" spans="1:23" s="400" customFormat="1" ht="11.25">
      <c r="A13" s="399">
        <v>1</v>
      </c>
      <c r="B13" s="399">
        <v>2</v>
      </c>
      <c r="C13" s="399">
        <v>3</v>
      </c>
      <c r="D13" s="399">
        <v>4</v>
      </c>
      <c r="E13" s="399">
        <v>5</v>
      </c>
      <c r="F13" s="399">
        <v>6</v>
      </c>
      <c r="G13" s="399">
        <v>7</v>
      </c>
      <c r="H13" s="399">
        <v>8</v>
      </c>
      <c r="I13" s="399" t="s">
        <v>491</v>
      </c>
      <c r="J13" s="399" t="s">
        <v>492</v>
      </c>
      <c r="K13" s="399" t="s">
        <v>493</v>
      </c>
      <c r="L13" s="399">
        <v>11</v>
      </c>
      <c r="M13" s="399">
        <v>12</v>
      </c>
      <c r="N13" s="399" t="s">
        <v>494</v>
      </c>
      <c r="O13" s="399" t="s">
        <v>495</v>
      </c>
      <c r="P13" s="399">
        <v>15</v>
      </c>
      <c r="Q13" s="399">
        <v>16</v>
      </c>
      <c r="R13" s="399" t="s">
        <v>496</v>
      </c>
      <c r="S13" s="399">
        <v>18</v>
      </c>
      <c r="T13" s="399">
        <v>19</v>
      </c>
      <c r="U13" s="399" t="s">
        <v>497</v>
      </c>
      <c r="V13" s="399">
        <v>21</v>
      </c>
      <c r="W13" s="399">
        <v>22</v>
      </c>
    </row>
    <row r="14" spans="1:23" s="400" customFormat="1" ht="6.75" customHeight="1">
      <c r="A14" s="1011"/>
      <c r="B14" s="1011"/>
      <c r="C14" s="1011"/>
      <c r="D14" s="1011"/>
      <c r="E14" s="1011"/>
      <c r="F14" s="1011"/>
      <c r="G14" s="1011"/>
      <c r="H14" s="1011"/>
      <c r="I14" s="1011"/>
      <c r="J14" s="1011"/>
      <c r="K14" s="1011"/>
      <c r="L14" s="1011"/>
      <c r="M14" s="1011"/>
      <c r="N14" s="1011"/>
      <c r="O14" s="1011"/>
      <c r="P14" s="1011"/>
      <c r="Q14" s="1011"/>
      <c r="R14" s="1011"/>
      <c r="S14" s="1011"/>
      <c r="T14" s="1011"/>
      <c r="U14" s="1011"/>
      <c r="V14" s="1011"/>
      <c r="W14" s="1011"/>
    </row>
    <row r="15" spans="1:24" s="400" customFormat="1" ht="18.75" customHeight="1">
      <c r="A15" s="1012" t="s">
        <v>498</v>
      </c>
      <c r="B15" s="1012"/>
      <c r="C15" s="1012"/>
      <c r="D15" s="1012"/>
      <c r="E15" s="1012"/>
      <c r="F15" s="1012"/>
      <c r="G15" s="1012"/>
      <c r="H15" s="1012"/>
      <c r="I15" s="1012"/>
      <c r="J15" s="1012"/>
      <c r="K15" s="1012"/>
      <c r="L15" s="1012"/>
      <c r="M15" s="1012"/>
      <c r="N15" s="1012"/>
      <c r="O15" s="1012"/>
      <c r="P15" s="1012"/>
      <c r="Q15" s="1012"/>
      <c r="R15" s="1012"/>
      <c r="S15" s="1012"/>
      <c r="T15" s="1012"/>
      <c r="U15" s="1012"/>
      <c r="V15" s="1012"/>
      <c r="W15" s="1012"/>
      <c r="X15" s="401"/>
    </row>
    <row r="16" spans="1:24" s="400" customFormat="1" ht="6.75" customHeight="1">
      <c r="A16" s="1009"/>
      <c r="B16" s="1009"/>
      <c r="C16" s="1009"/>
      <c r="D16" s="1009"/>
      <c r="E16" s="1009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402"/>
    </row>
    <row r="17" spans="1:23" s="404" customFormat="1" ht="14.25" customHeight="1">
      <c r="A17" s="972">
        <v>1</v>
      </c>
      <c r="B17" s="968" t="s">
        <v>499</v>
      </c>
      <c r="C17" s="970" t="s">
        <v>500</v>
      </c>
      <c r="D17" s="1005" t="s">
        <v>501</v>
      </c>
      <c r="E17" s="972" t="s">
        <v>502</v>
      </c>
      <c r="F17" s="972" t="s">
        <v>503</v>
      </c>
      <c r="G17" s="968" t="s">
        <v>504</v>
      </c>
      <c r="H17" s="403">
        <f>H18+H19+H20+H21</f>
        <v>23433538</v>
      </c>
      <c r="I17" s="403">
        <f>I18+I19+I20+I21</f>
        <v>6287739</v>
      </c>
      <c r="J17" s="967">
        <f>K17+N17</f>
        <v>7190319</v>
      </c>
      <c r="K17" s="967">
        <f>L17+M17</f>
        <v>6101600</v>
      </c>
      <c r="L17" s="965">
        <v>6101600</v>
      </c>
      <c r="M17" s="965">
        <v>0</v>
      </c>
      <c r="N17" s="967">
        <f>O17+R17+U17</f>
        <v>1088719</v>
      </c>
      <c r="O17" s="967">
        <f>P17+Q17</f>
        <v>0</v>
      </c>
      <c r="P17" s="965">
        <v>0</v>
      </c>
      <c r="Q17" s="965">
        <v>0</v>
      </c>
      <c r="R17" s="967">
        <f>S17+T17</f>
        <v>397822</v>
      </c>
      <c r="S17" s="965">
        <v>397822</v>
      </c>
      <c r="T17" s="965">
        <v>0</v>
      </c>
      <c r="U17" s="967">
        <f>V17+W17</f>
        <v>690897</v>
      </c>
      <c r="V17" s="965">
        <v>690897</v>
      </c>
      <c r="W17" s="965">
        <v>0</v>
      </c>
    </row>
    <row r="18" spans="1:23" s="404" customFormat="1" ht="14.25" customHeight="1">
      <c r="A18" s="972"/>
      <c r="B18" s="968"/>
      <c r="C18" s="970"/>
      <c r="D18" s="1005"/>
      <c r="E18" s="972"/>
      <c r="F18" s="972"/>
      <c r="G18" s="968"/>
      <c r="H18" s="403">
        <v>19913614</v>
      </c>
      <c r="I18" s="403">
        <v>5349855</v>
      </c>
      <c r="J18" s="967"/>
      <c r="K18" s="967"/>
      <c r="L18" s="965"/>
      <c r="M18" s="965"/>
      <c r="N18" s="967"/>
      <c r="O18" s="967"/>
      <c r="P18" s="965"/>
      <c r="Q18" s="965"/>
      <c r="R18" s="967"/>
      <c r="S18" s="965"/>
      <c r="T18" s="965"/>
      <c r="U18" s="967"/>
      <c r="V18" s="965"/>
      <c r="W18" s="965"/>
    </row>
    <row r="19" spans="1:23" s="404" customFormat="1" ht="14.25" customHeight="1">
      <c r="A19" s="972"/>
      <c r="B19" s="968"/>
      <c r="C19" s="970"/>
      <c r="D19" s="1005"/>
      <c r="E19" s="972"/>
      <c r="F19" s="972"/>
      <c r="G19" s="968"/>
      <c r="H19" s="403">
        <v>0</v>
      </c>
      <c r="I19" s="403">
        <v>0</v>
      </c>
      <c r="J19" s="967"/>
      <c r="K19" s="967"/>
      <c r="L19" s="965"/>
      <c r="M19" s="965"/>
      <c r="N19" s="967"/>
      <c r="O19" s="967"/>
      <c r="P19" s="965"/>
      <c r="Q19" s="965"/>
      <c r="R19" s="967"/>
      <c r="S19" s="965"/>
      <c r="T19" s="965"/>
      <c r="U19" s="967"/>
      <c r="V19" s="965"/>
      <c r="W19" s="965"/>
    </row>
    <row r="20" spans="1:23" s="404" customFormat="1" ht="14.25" customHeight="1">
      <c r="A20" s="972"/>
      <c r="B20" s="968"/>
      <c r="C20" s="970"/>
      <c r="D20" s="1005"/>
      <c r="E20" s="972"/>
      <c r="F20" s="972"/>
      <c r="G20" s="968"/>
      <c r="H20" s="403">
        <v>1953551</v>
      </c>
      <c r="I20" s="403">
        <v>741475</v>
      </c>
      <c r="J20" s="967"/>
      <c r="K20" s="967"/>
      <c r="L20" s="965"/>
      <c r="M20" s="965"/>
      <c r="N20" s="967"/>
      <c r="O20" s="967"/>
      <c r="P20" s="965"/>
      <c r="Q20" s="965"/>
      <c r="R20" s="967"/>
      <c r="S20" s="965"/>
      <c r="T20" s="965"/>
      <c r="U20" s="967"/>
      <c r="V20" s="965"/>
      <c r="W20" s="965"/>
    </row>
    <row r="21" spans="1:23" s="404" customFormat="1" ht="14.25" customHeight="1">
      <c r="A21" s="972"/>
      <c r="B21" s="968"/>
      <c r="C21" s="970"/>
      <c r="D21" s="1005"/>
      <c r="E21" s="972"/>
      <c r="F21" s="972"/>
      <c r="G21" s="968"/>
      <c r="H21" s="403">
        <v>1566373</v>
      </c>
      <c r="I21" s="403">
        <v>196409</v>
      </c>
      <c r="J21" s="967"/>
      <c r="K21" s="967"/>
      <c r="L21" s="965"/>
      <c r="M21" s="965"/>
      <c r="N21" s="967"/>
      <c r="O21" s="967"/>
      <c r="P21" s="965"/>
      <c r="Q21" s="965"/>
      <c r="R21" s="967"/>
      <c r="S21" s="965"/>
      <c r="T21" s="965"/>
      <c r="U21" s="967"/>
      <c r="V21" s="965"/>
      <c r="W21" s="965"/>
    </row>
    <row r="22" spans="1:23" s="404" customFormat="1" ht="13.5" customHeight="1">
      <c r="A22" s="972">
        <v>2</v>
      </c>
      <c r="B22" s="968" t="s">
        <v>499</v>
      </c>
      <c r="C22" s="970" t="s">
        <v>500</v>
      </c>
      <c r="D22" s="1005" t="s">
        <v>505</v>
      </c>
      <c r="E22" s="972" t="s">
        <v>502</v>
      </c>
      <c r="F22" s="972" t="s">
        <v>503</v>
      </c>
      <c r="G22" s="968" t="s">
        <v>504</v>
      </c>
      <c r="H22" s="403">
        <f>H23+H24+H25+H26</f>
        <v>8544937</v>
      </c>
      <c r="I22" s="403">
        <f>I23+I24+I25+I26</f>
        <v>1019623</v>
      </c>
      <c r="J22" s="967">
        <f>K22+N22</f>
        <v>3698064</v>
      </c>
      <c r="K22" s="967">
        <f>L22+M22</f>
        <v>3147302</v>
      </c>
      <c r="L22" s="965">
        <v>3147302</v>
      </c>
      <c r="M22" s="965">
        <v>0</v>
      </c>
      <c r="N22" s="967">
        <f>O22+R22+U22</f>
        <v>550762</v>
      </c>
      <c r="O22" s="967">
        <f>P22+Q22</f>
        <v>0</v>
      </c>
      <c r="P22" s="965">
        <v>0</v>
      </c>
      <c r="Q22" s="965">
        <v>0</v>
      </c>
      <c r="R22" s="967">
        <f>S22+T22</f>
        <v>128444</v>
      </c>
      <c r="S22" s="965">
        <v>128444</v>
      </c>
      <c r="T22" s="965">
        <v>0</v>
      </c>
      <c r="U22" s="967">
        <f>V22+W22</f>
        <v>422318</v>
      </c>
      <c r="V22" s="965">
        <v>422318</v>
      </c>
      <c r="W22" s="965">
        <v>0</v>
      </c>
    </row>
    <row r="23" spans="1:23" s="404" customFormat="1" ht="13.5" customHeight="1">
      <c r="A23" s="972"/>
      <c r="B23" s="968"/>
      <c r="C23" s="970"/>
      <c r="D23" s="1005"/>
      <c r="E23" s="972"/>
      <c r="F23" s="972"/>
      <c r="G23" s="968"/>
      <c r="H23" s="403">
        <v>7232246</v>
      </c>
      <c r="I23" s="403">
        <v>831781</v>
      </c>
      <c r="J23" s="967"/>
      <c r="K23" s="967"/>
      <c r="L23" s="965"/>
      <c r="M23" s="965"/>
      <c r="N23" s="967"/>
      <c r="O23" s="967"/>
      <c r="P23" s="965"/>
      <c r="Q23" s="965"/>
      <c r="R23" s="967"/>
      <c r="S23" s="965"/>
      <c r="T23" s="965"/>
      <c r="U23" s="967"/>
      <c r="V23" s="965"/>
      <c r="W23" s="965"/>
    </row>
    <row r="24" spans="1:23" s="404" customFormat="1" ht="13.5" customHeight="1">
      <c r="A24" s="972"/>
      <c r="B24" s="968"/>
      <c r="C24" s="970"/>
      <c r="D24" s="1005"/>
      <c r="E24" s="972"/>
      <c r="F24" s="972"/>
      <c r="G24" s="968"/>
      <c r="H24" s="403">
        <v>0</v>
      </c>
      <c r="I24" s="403">
        <v>0</v>
      </c>
      <c r="J24" s="967"/>
      <c r="K24" s="967"/>
      <c r="L24" s="965"/>
      <c r="M24" s="965"/>
      <c r="N24" s="967"/>
      <c r="O24" s="967"/>
      <c r="P24" s="965"/>
      <c r="Q24" s="965"/>
      <c r="R24" s="967"/>
      <c r="S24" s="965"/>
      <c r="T24" s="965"/>
      <c r="U24" s="967"/>
      <c r="V24" s="965"/>
      <c r="W24" s="965"/>
    </row>
    <row r="25" spans="1:23" s="404" customFormat="1" ht="13.5" customHeight="1">
      <c r="A25" s="972"/>
      <c r="B25" s="968"/>
      <c r="C25" s="970"/>
      <c r="D25" s="1005"/>
      <c r="E25" s="972"/>
      <c r="F25" s="972"/>
      <c r="G25" s="968"/>
      <c r="H25" s="403">
        <v>362939</v>
      </c>
      <c r="I25" s="403">
        <v>115358</v>
      </c>
      <c r="J25" s="967"/>
      <c r="K25" s="967"/>
      <c r="L25" s="965"/>
      <c r="M25" s="965"/>
      <c r="N25" s="967"/>
      <c r="O25" s="967"/>
      <c r="P25" s="965"/>
      <c r="Q25" s="965"/>
      <c r="R25" s="967"/>
      <c r="S25" s="965"/>
      <c r="T25" s="965"/>
      <c r="U25" s="967"/>
      <c r="V25" s="965"/>
      <c r="W25" s="965"/>
    </row>
    <row r="26" spans="1:23" s="404" customFormat="1" ht="13.5" customHeight="1">
      <c r="A26" s="972"/>
      <c r="B26" s="968"/>
      <c r="C26" s="970"/>
      <c r="D26" s="1005"/>
      <c r="E26" s="972"/>
      <c r="F26" s="972"/>
      <c r="G26" s="968"/>
      <c r="H26" s="403">
        <v>949752</v>
      </c>
      <c r="I26" s="403">
        <v>72484</v>
      </c>
      <c r="J26" s="967"/>
      <c r="K26" s="967"/>
      <c r="L26" s="965"/>
      <c r="M26" s="965"/>
      <c r="N26" s="967"/>
      <c r="O26" s="967"/>
      <c r="P26" s="965"/>
      <c r="Q26" s="965"/>
      <c r="R26" s="967"/>
      <c r="S26" s="965"/>
      <c r="T26" s="965"/>
      <c r="U26" s="967"/>
      <c r="V26" s="965"/>
      <c r="W26" s="965"/>
    </row>
    <row r="27" spans="1:23" s="404" customFormat="1" ht="13.5" customHeight="1">
      <c r="A27" s="972">
        <v>3</v>
      </c>
      <c r="B27" s="968" t="s">
        <v>499</v>
      </c>
      <c r="C27" s="970" t="s">
        <v>500</v>
      </c>
      <c r="D27" s="1005" t="s">
        <v>506</v>
      </c>
      <c r="E27" s="972" t="s">
        <v>502</v>
      </c>
      <c r="F27" s="972" t="s">
        <v>503</v>
      </c>
      <c r="G27" s="968" t="s">
        <v>507</v>
      </c>
      <c r="H27" s="403">
        <f>H28+H29+H30+H31</f>
        <v>11360000</v>
      </c>
      <c r="I27" s="403">
        <f>I28+I29+I30+I31</f>
        <v>3889166</v>
      </c>
      <c r="J27" s="967">
        <f>K27+N27</f>
        <v>3839166</v>
      </c>
      <c r="K27" s="967">
        <f>L27+M27</f>
        <v>3263291</v>
      </c>
      <c r="L27" s="965">
        <v>3263291</v>
      </c>
      <c r="M27" s="965">
        <v>0</v>
      </c>
      <c r="N27" s="967">
        <f>O27+R27+U27</f>
        <v>575875</v>
      </c>
      <c r="O27" s="967">
        <f>P27+Q27</f>
        <v>0</v>
      </c>
      <c r="P27" s="965">
        <v>0</v>
      </c>
      <c r="Q27" s="965">
        <v>0</v>
      </c>
      <c r="R27" s="967">
        <f>S27+T27</f>
        <v>575875</v>
      </c>
      <c r="S27" s="965">
        <v>575875</v>
      </c>
      <c r="T27" s="965">
        <v>0</v>
      </c>
      <c r="U27" s="967">
        <f>V27+W27</f>
        <v>0</v>
      </c>
      <c r="V27" s="965">
        <v>0</v>
      </c>
      <c r="W27" s="965">
        <v>0</v>
      </c>
    </row>
    <row r="28" spans="1:23" s="404" customFormat="1" ht="13.5" customHeight="1">
      <c r="A28" s="972"/>
      <c r="B28" s="968"/>
      <c r="C28" s="970"/>
      <c r="D28" s="1005"/>
      <c r="E28" s="972"/>
      <c r="F28" s="972"/>
      <c r="G28" s="968"/>
      <c r="H28" s="403">
        <v>9656000</v>
      </c>
      <c r="I28" s="403">
        <v>3305791</v>
      </c>
      <c r="J28" s="967"/>
      <c r="K28" s="967"/>
      <c r="L28" s="965"/>
      <c r="M28" s="965"/>
      <c r="N28" s="967"/>
      <c r="O28" s="967"/>
      <c r="P28" s="965"/>
      <c r="Q28" s="965"/>
      <c r="R28" s="967"/>
      <c r="S28" s="965"/>
      <c r="T28" s="965"/>
      <c r="U28" s="967"/>
      <c r="V28" s="965"/>
      <c r="W28" s="965"/>
    </row>
    <row r="29" spans="1:23" s="404" customFormat="1" ht="13.5" customHeight="1">
      <c r="A29" s="972"/>
      <c r="B29" s="968"/>
      <c r="C29" s="970"/>
      <c r="D29" s="1005"/>
      <c r="E29" s="972"/>
      <c r="F29" s="972"/>
      <c r="G29" s="968"/>
      <c r="H29" s="403">
        <v>0</v>
      </c>
      <c r="I29" s="403">
        <v>0</v>
      </c>
      <c r="J29" s="967"/>
      <c r="K29" s="967"/>
      <c r="L29" s="965"/>
      <c r="M29" s="965"/>
      <c r="N29" s="967"/>
      <c r="O29" s="967"/>
      <c r="P29" s="965"/>
      <c r="Q29" s="965"/>
      <c r="R29" s="967"/>
      <c r="S29" s="965"/>
      <c r="T29" s="965"/>
      <c r="U29" s="967"/>
      <c r="V29" s="965"/>
      <c r="W29" s="965"/>
    </row>
    <row r="30" spans="1:23" s="404" customFormat="1" ht="13.5" customHeight="1">
      <c r="A30" s="972"/>
      <c r="B30" s="968"/>
      <c r="C30" s="970"/>
      <c r="D30" s="1005"/>
      <c r="E30" s="972"/>
      <c r="F30" s="972"/>
      <c r="G30" s="968"/>
      <c r="H30" s="403">
        <v>1704000</v>
      </c>
      <c r="I30" s="403">
        <v>583375</v>
      </c>
      <c r="J30" s="967"/>
      <c r="K30" s="967"/>
      <c r="L30" s="965"/>
      <c r="M30" s="965"/>
      <c r="N30" s="967"/>
      <c r="O30" s="967"/>
      <c r="P30" s="965"/>
      <c r="Q30" s="965"/>
      <c r="R30" s="967"/>
      <c r="S30" s="965"/>
      <c r="T30" s="965"/>
      <c r="U30" s="967"/>
      <c r="V30" s="965"/>
      <c r="W30" s="965"/>
    </row>
    <row r="31" spans="1:23" s="404" customFormat="1" ht="13.5" customHeight="1">
      <c r="A31" s="972"/>
      <c r="B31" s="968"/>
      <c r="C31" s="970"/>
      <c r="D31" s="1005"/>
      <c r="E31" s="972"/>
      <c r="F31" s="972"/>
      <c r="G31" s="968"/>
      <c r="H31" s="403">
        <v>0</v>
      </c>
      <c r="I31" s="403">
        <v>0</v>
      </c>
      <c r="J31" s="967"/>
      <c r="K31" s="967"/>
      <c r="L31" s="965"/>
      <c r="M31" s="965"/>
      <c r="N31" s="967"/>
      <c r="O31" s="967"/>
      <c r="P31" s="965"/>
      <c r="Q31" s="965"/>
      <c r="R31" s="967"/>
      <c r="S31" s="965"/>
      <c r="T31" s="965"/>
      <c r="U31" s="967"/>
      <c r="V31" s="965"/>
      <c r="W31" s="965"/>
    </row>
    <row r="32" spans="1:23" s="404" customFormat="1" ht="13.5" customHeight="1">
      <c r="A32" s="972">
        <v>4</v>
      </c>
      <c r="B32" s="968" t="s">
        <v>499</v>
      </c>
      <c r="C32" s="970" t="s">
        <v>500</v>
      </c>
      <c r="D32" s="1005" t="s">
        <v>508</v>
      </c>
      <c r="E32" s="972" t="s">
        <v>502</v>
      </c>
      <c r="F32" s="972" t="s">
        <v>503</v>
      </c>
      <c r="G32" s="968" t="s">
        <v>507</v>
      </c>
      <c r="H32" s="403">
        <f>H33+H34+H35+H36</f>
        <v>9743979</v>
      </c>
      <c r="I32" s="403">
        <f>I33+I34+I35+I36</f>
        <v>1344423</v>
      </c>
      <c r="J32" s="967">
        <f>K32+N32</f>
        <v>4911598</v>
      </c>
      <c r="K32" s="967">
        <f>L32+M32</f>
        <v>4174859</v>
      </c>
      <c r="L32" s="965">
        <v>4174859</v>
      </c>
      <c r="M32" s="965">
        <v>0</v>
      </c>
      <c r="N32" s="967">
        <f>O32+R32+U32</f>
        <v>736739</v>
      </c>
      <c r="O32" s="967">
        <f>P32+Q32</f>
        <v>0</v>
      </c>
      <c r="P32" s="965">
        <v>0</v>
      </c>
      <c r="Q32" s="965">
        <v>0</v>
      </c>
      <c r="R32" s="967">
        <f>S32+T32</f>
        <v>736739</v>
      </c>
      <c r="S32" s="965">
        <v>736739</v>
      </c>
      <c r="T32" s="965">
        <v>0</v>
      </c>
      <c r="U32" s="967">
        <f>V32+W32</f>
        <v>0</v>
      </c>
      <c r="V32" s="965">
        <v>0</v>
      </c>
      <c r="W32" s="965">
        <v>0</v>
      </c>
    </row>
    <row r="33" spans="1:23" s="404" customFormat="1" ht="13.5" customHeight="1">
      <c r="A33" s="972"/>
      <c r="B33" s="968"/>
      <c r="C33" s="970"/>
      <c r="D33" s="1005"/>
      <c r="E33" s="972"/>
      <c r="F33" s="972"/>
      <c r="G33" s="968"/>
      <c r="H33" s="403">
        <v>8282382</v>
      </c>
      <c r="I33" s="403">
        <v>1142759</v>
      </c>
      <c r="J33" s="967"/>
      <c r="K33" s="967"/>
      <c r="L33" s="965"/>
      <c r="M33" s="965"/>
      <c r="N33" s="967"/>
      <c r="O33" s="967"/>
      <c r="P33" s="965"/>
      <c r="Q33" s="965"/>
      <c r="R33" s="967"/>
      <c r="S33" s="965"/>
      <c r="T33" s="965"/>
      <c r="U33" s="967"/>
      <c r="V33" s="965"/>
      <c r="W33" s="965"/>
    </row>
    <row r="34" spans="1:23" s="404" customFormat="1" ht="13.5" customHeight="1">
      <c r="A34" s="972"/>
      <c r="B34" s="968"/>
      <c r="C34" s="970"/>
      <c r="D34" s="1005"/>
      <c r="E34" s="972"/>
      <c r="F34" s="972"/>
      <c r="G34" s="968"/>
      <c r="H34" s="403">
        <v>0</v>
      </c>
      <c r="I34" s="403">
        <v>0</v>
      </c>
      <c r="J34" s="967"/>
      <c r="K34" s="967"/>
      <c r="L34" s="965"/>
      <c r="M34" s="965"/>
      <c r="N34" s="967"/>
      <c r="O34" s="967"/>
      <c r="P34" s="965"/>
      <c r="Q34" s="965"/>
      <c r="R34" s="967"/>
      <c r="S34" s="965"/>
      <c r="T34" s="965"/>
      <c r="U34" s="967"/>
      <c r="V34" s="965"/>
      <c r="W34" s="965"/>
    </row>
    <row r="35" spans="1:23" s="404" customFormat="1" ht="13.5" customHeight="1">
      <c r="A35" s="972"/>
      <c r="B35" s="968"/>
      <c r="C35" s="970"/>
      <c r="D35" s="1005"/>
      <c r="E35" s="972"/>
      <c r="F35" s="972"/>
      <c r="G35" s="968"/>
      <c r="H35" s="403">
        <v>1461597</v>
      </c>
      <c r="I35" s="403">
        <v>201664</v>
      </c>
      <c r="J35" s="967"/>
      <c r="K35" s="967"/>
      <c r="L35" s="965"/>
      <c r="M35" s="965"/>
      <c r="N35" s="967"/>
      <c r="O35" s="967"/>
      <c r="P35" s="965"/>
      <c r="Q35" s="965"/>
      <c r="R35" s="967"/>
      <c r="S35" s="965"/>
      <c r="T35" s="965"/>
      <c r="U35" s="967"/>
      <c r="V35" s="965"/>
      <c r="W35" s="965"/>
    </row>
    <row r="36" spans="1:23" s="404" customFormat="1" ht="13.5" customHeight="1">
      <c r="A36" s="972"/>
      <c r="B36" s="968"/>
      <c r="C36" s="970"/>
      <c r="D36" s="1005"/>
      <c r="E36" s="972"/>
      <c r="F36" s="972"/>
      <c r="G36" s="968"/>
      <c r="H36" s="403">
        <v>0</v>
      </c>
      <c r="I36" s="403">
        <v>0</v>
      </c>
      <c r="J36" s="967"/>
      <c r="K36" s="967"/>
      <c r="L36" s="965"/>
      <c r="M36" s="965"/>
      <c r="N36" s="967"/>
      <c r="O36" s="967"/>
      <c r="P36" s="965"/>
      <c r="Q36" s="965"/>
      <c r="R36" s="967"/>
      <c r="S36" s="965"/>
      <c r="T36" s="965"/>
      <c r="U36" s="967"/>
      <c r="V36" s="965"/>
      <c r="W36" s="965"/>
    </row>
    <row r="37" spans="1:23" s="404" customFormat="1" ht="13.5" customHeight="1">
      <c r="A37" s="972">
        <v>5</v>
      </c>
      <c r="B37" s="991" t="s">
        <v>421</v>
      </c>
      <c r="C37" s="1006" t="s">
        <v>509</v>
      </c>
      <c r="D37" s="1002" t="s">
        <v>510</v>
      </c>
      <c r="E37" s="973" t="s">
        <v>502</v>
      </c>
      <c r="F37" s="973" t="s">
        <v>511</v>
      </c>
      <c r="G37" s="991" t="s">
        <v>512</v>
      </c>
      <c r="H37" s="403">
        <f>H38+H39+H40+H41</f>
        <v>113069501</v>
      </c>
      <c r="I37" s="403">
        <f>I38+I39+I40+I41</f>
        <v>9239443</v>
      </c>
      <c r="J37" s="988">
        <f>K37+N37</f>
        <v>36892697</v>
      </c>
      <c r="K37" s="988">
        <f>L37+M37</f>
        <v>36632855</v>
      </c>
      <c r="L37" s="984">
        <v>1076955</v>
      </c>
      <c r="M37" s="984">
        <v>35555900</v>
      </c>
      <c r="N37" s="988">
        <f>O37+R37+U37</f>
        <v>259842</v>
      </c>
      <c r="O37" s="988">
        <f>P37+Q37</f>
        <v>0</v>
      </c>
      <c r="P37" s="984">
        <v>0</v>
      </c>
      <c r="Q37" s="984">
        <v>0</v>
      </c>
      <c r="R37" s="988">
        <f>S37+T37</f>
        <v>193660</v>
      </c>
      <c r="S37" s="984">
        <v>123870</v>
      </c>
      <c r="T37" s="984">
        <v>69790</v>
      </c>
      <c r="U37" s="988">
        <f>V37+W37</f>
        <v>66182</v>
      </c>
      <c r="V37" s="984">
        <v>66182</v>
      </c>
      <c r="W37" s="984">
        <v>0</v>
      </c>
    </row>
    <row r="38" spans="1:23" s="404" customFormat="1" ht="13.5" customHeight="1">
      <c r="A38" s="972"/>
      <c r="B38" s="992"/>
      <c r="C38" s="1007"/>
      <c r="D38" s="1003"/>
      <c r="E38" s="974"/>
      <c r="F38" s="974"/>
      <c r="G38" s="992"/>
      <c r="H38" s="403">
        <v>109055000</v>
      </c>
      <c r="I38" s="403">
        <v>8312525</v>
      </c>
      <c r="J38" s="989"/>
      <c r="K38" s="989"/>
      <c r="L38" s="985"/>
      <c r="M38" s="985"/>
      <c r="N38" s="989"/>
      <c r="O38" s="989"/>
      <c r="P38" s="985"/>
      <c r="Q38" s="985"/>
      <c r="R38" s="989"/>
      <c r="S38" s="985"/>
      <c r="T38" s="985"/>
      <c r="U38" s="989"/>
      <c r="V38" s="985"/>
      <c r="W38" s="985"/>
    </row>
    <row r="39" spans="1:23" s="404" customFormat="1" ht="13.5" customHeight="1">
      <c r="A39" s="972"/>
      <c r="B39" s="992"/>
      <c r="C39" s="1007"/>
      <c r="D39" s="1003"/>
      <c r="E39" s="974"/>
      <c r="F39" s="974"/>
      <c r="G39" s="992"/>
      <c r="H39" s="403">
        <v>0</v>
      </c>
      <c r="I39" s="403">
        <v>0</v>
      </c>
      <c r="J39" s="989"/>
      <c r="K39" s="989"/>
      <c r="L39" s="985"/>
      <c r="M39" s="985"/>
      <c r="N39" s="989"/>
      <c r="O39" s="989"/>
      <c r="P39" s="985"/>
      <c r="Q39" s="985"/>
      <c r="R39" s="989"/>
      <c r="S39" s="985"/>
      <c r="T39" s="985"/>
      <c r="U39" s="989"/>
      <c r="V39" s="985"/>
      <c r="W39" s="985"/>
    </row>
    <row r="40" spans="1:23" s="404" customFormat="1" ht="13.5" customHeight="1">
      <c r="A40" s="972"/>
      <c r="B40" s="992"/>
      <c r="C40" s="1007"/>
      <c r="D40" s="1003"/>
      <c r="E40" s="974"/>
      <c r="F40" s="974"/>
      <c r="G40" s="992"/>
      <c r="H40" s="403">
        <v>3730066</v>
      </c>
      <c r="I40" s="403">
        <v>842881</v>
      </c>
      <c r="J40" s="989"/>
      <c r="K40" s="989"/>
      <c r="L40" s="985"/>
      <c r="M40" s="985"/>
      <c r="N40" s="989"/>
      <c r="O40" s="989"/>
      <c r="P40" s="985"/>
      <c r="Q40" s="985"/>
      <c r="R40" s="989"/>
      <c r="S40" s="985"/>
      <c r="T40" s="985"/>
      <c r="U40" s="989"/>
      <c r="V40" s="985"/>
      <c r="W40" s="985"/>
    </row>
    <row r="41" spans="1:23" s="404" customFormat="1" ht="13.5" customHeight="1">
      <c r="A41" s="972"/>
      <c r="B41" s="993"/>
      <c r="C41" s="1008"/>
      <c r="D41" s="1004"/>
      <c r="E41" s="975"/>
      <c r="F41" s="975"/>
      <c r="G41" s="993"/>
      <c r="H41" s="403">
        <v>284435</v>
      </c>
      <c r="I41" s="403">
        <v>84037</v>
      </c>
      <c r="J41" s="990"/>
      <c r="K41" s="990"/>
      <c r="L41" s="986"/>
      <c r="M41" s="986"/>
      <c r="N41" s="990"/>
      <c r="O41" s="990"/>
      <c r="P41" s="986"/>
      <c r="Q41" s="986"/>
      <c r="R41" s="990"/>
      <c r="S41" s="986"/>
      <c r="T41" s="986"/>
      <c r="U41" s="990"/>
      <c r="V41" s="986"/>
      <c r="W41" s="986"/>
    </row>
    <row r="42" spans="1:23" s="404" customFormat="1" ht="13.5" customHeight="1">
      <c r="A42" s="972">
        <v>6</v>
      </c>
      <c r="B42" s="991" t="s">
        <v>421</v>
      </c>
      <c r="C42" s="1006" t="s">
        <v>509</v>
      </c>
      <c r="D42" s="1002" t="s">
        <v>513</v>
      </c>
      <c r="E42" s="973" t="s">
        <v>502</v>
      </c>
      <c r="F42" s="973" t="s">
        <v>511</v>
      </c>
      <c r="G42" s="991" t="s">
        <v>512</v>
      </c>
      <c r="H42" s="403">
        <f>H43+H44+H45+H46</f>
        <v>67154081</v>
      </c>
      <c r="I42" s="403">
        <f>I43+I44+I45+I46</f>
        <v>15831547</v>
      </c>
      <c r="J42" s="988">
        <f>K42+N42</f>
        <v>13930162</v>
      </c>
      <c r="K42" s="988">
        <f>L42+M42</f>
        <v>13669642</v>
      </c>
      <c r="L42" s="984">
        <v>1452560</v>
      </c>
      <c r="M42" s="984">
        <v>12217082</v>
      </c>
      <c r="N42" s="988">
        <f>O42+R42+U42</f>
        <v>260520</v>
      </c>
      <c r="O42" s="988">
        <f>P42+Q42</f>
        <v>0</v>
      </c>
      <c r="P42" s="984">
        <v>0</v>
      </c>
      <c r="Q42" s="984">
        <v>0</v>
      </c>
      <c r="R42" s="988">
        <f>S42+T42</f>
        <v>260520</v>
      </c>
      <c r="S42" s="984">
        <v>256335</v>
      </c>
      <c r="T42" s="984">
        <v>4185</v>
      </c>
      <c r="U42" s="988">
        <f>V42+W42</f>
        <v>0</v>
      </c>
      <c r="V42" s="984">
        <v>0</v>
      </c>
      <c r="W42" s="984">
        <v>0</v>
      </c>
    </row>
    <row r="43" spans="1:23" s="404" customFormat="1" ht="13.5" customHeight="1">
      <c r="A43" s="972"/>
      <c r="B43" s="992"/>
      <c r="C43" s="1007"/>
      <c r="D43" s="1003"/>
      <c r="E43" s="974"/>
      <c r="F43" s="974"/>
      <c r="G43" s="992"/>
      <c r="H43" s="403">
        <v>62492000</v>
      </c>
      <c r="I43" s="403">
        <v>15524335</v>
      </c>
      <c r="J43" s="989"/>
      <c r="K43" s="989"/>
      <c r="L43" s="985"/>
      <c r="M43" s="985"/>
      <c r="N43" s="989"/>
      <c r="O43" s="989"/>
      <c r="P43" s="985"/>
      <c r="Q43" s="985"/>
      <c r="R43" s="989"/>
      <c r="S43" s="985"/>
      <c r="T43" s="985"/>
      <c r="U43" s="989"/>
      <c r="V43" s="985"/>
      <c r="W43" s="985"/>
    </row>
    <row r="44" spans="1:23" s="404" customFormat="1" ht="13.5" customHeight="1">
      <c r="A44" s="972"/>
      <c r="B44" s="992"/>
      <c r="C44" s="1007"/>
      <c r="D44" s="1003"/>
      <c r="E44" s="974"/>
      <c r="F44" s="974"/>
      <c r="G44" s="992"/>
      <c r="H44" s="403">
        <v>0</v>
      </c>
      <c r="I44" s="403">
        <v>0</v>
      </c>
      <c r="J44" s="989"/>
      <c r="K44" s="989"/>
      <c r="L44" s="985"/>
      <c r="M44" s="985"/>
      <c r="N44" s="989"/>
      <c r="O44" s="989"/>
      <c r="P44" s="985"/>
      <c r="Q44" s="985"/>
      <c r="R44" s="989"/>
      <c r="S44" s="985"/>
      <c r="T44" s="985"/>
      <c r="U44" s="989"/>
      <c r="V44" s="985"/>
      <c r="W44" s="985"/>
    </row>
    <row r="45" spans="1:23" s="404" customFormat="1" ht="13.5" customHeight="1">
      <c r="A45" s="972"/>
      <c r="B45" s="992"/>
      <c r="C45" s="1007"/>
      <c r="D45" s="1003"/>
      <c r="E45" s="974"/>
      <c r="F45" s="974"/>
      <c r="G45" s="992"/>
      <c r="H45" s="403">
        <v>4662081</v>
      </c>
      <c r="I45" s="403">
        <v>307212</v>
      </c>
      <c r="J45" s="989"/>
      <c r="K45" s="989"/>
      <c r="L45" s="985"/>
      <c r="M45" s="985"/>
      <c r="N45" s="989"/>
      <c r="O45" s="989"/>
      <c r="P45" s="985"/>
      <c r="Q45" s="985"/>
      <c r="R45" s="989"/>
      <c r="S45" s="985"/>
      <c r="T45" s="985"/>
      <c r="U45" s="989"/>
      <c r="V45" s="985"/>
      <c r="W45" s="985"/>
    </row>
    <row r="46" spans="1:23" s="404" customFormat="1" ht="13.5" customHeight="1">
      <c r="A46" s="972"/>
      <c r="B46" s="993"/>
      <c r="C46" s="1008"/>
      <c r="D46" s="1004"/>
      <c r="E46" s="975"/>
      <c r="F46" s="975"/>
      <c r="G46" s="993"/>
      <c r="H46" s="403">
        <v>0</v>
      </c>
      <c r="I46" s="403">
        <v>0</v>
      </c>
      <c r="J46" s="990"/>
      <c r="K46" s="990"/>
      <c r="L46" s="986"/>
      <c r="M46" s="986"/>
      <c r="N46" s="990"/>
      <c r="O46" s="990"/>
      <c r="P46" s="986"/>
      <c r="Q46" s="986"/>
      <c r="R46" s="990"/>
      <c r="S46" s="986"/>
      <c r="T46" s="986"/>
      <c r="U46" s="990"/>
      <c r="V46" s="986"/>
      <c r="W46" s="986"/>
    </row>
    <row r="47" spans="1:23" s="404" customFormat="1" ht="13.5" customHeight="1">
      <c r="A47" s="972">
        <v>7</v>
      </c>
      <c r="B47" s="991" t="s">
        <v>421</v>
      </c>
      <c r="C47" s="1006" t="s">
        <v>509</v>
      </c>
      <c r="D47" s="1002" t="s">
        <v>514</v>
      </c>
      <c r="E47" s="973" t="s">
        <v>502</v>
      </c>
      <c r="F47" s="973" t="s">
        <v>511</v>
      </c>
      <c r="G47" s="991" t="s">
        <v>515</v>
      </c>
      <c r="H47" s="403">
        <f>H48+H49+H50+H51</f>
        <v>21697885</v>
      </c>
      <c r="I47" s="403">
        <f>I48+I49+I50+I51</f>
        <v>229196</v>
      </c>
      <c r="J47" s="988">
        <f>K47+N47</f>
        <v>4513918</v>
      </c>
      <c r="K47" s="988">
        <f>L47+M47</f>
        <v>4474330</v>
      </c>
      <c r="L47" s="984">
        <v>224330</v>
      </c>
      <c r="M47" s="984">
        <v>4250000</v>
      </c>
      <c r="N47" s="988">
        <f>O47+R47+U47</f>
        <v>39588</v>
      </c>
      <c r="O47" s="988">
        <f>P47+Q47</f>
        <v>0</v>
      </c>
      <c r="P47" s="984">
        <v>0</v>
      </c>
      <c r="Q47" s="984">
        <v>0</v>
      </c>
      <c r="R47" s="988">
        <f>S47+T47</f>
        <v>39588</v>
      </c>
      <c r="S47" s="984">
        <v>39588</v>
      </c>
      <c r="T47" s="984">
        <v>0</v>
      </c>
      <c r="U47" s="988">
        <f>V47+W47</f>
        <v>0</v>
      </c>
      <c r="V47" s="984">
        <v>0</v>
      </c>
      <c r="W47" s="984">
        <v>0</v>
      </c>
    </row>
    <row r="48" spans="1:23" s="404" customFormat="1" ht="13.5" customHeight="1">
      <c r="A48" s="972"/>
      <c r="B48" s="992"/>
      <c r="C48" s="1007"/>
      <c r="D48" s="1003"/>
      <c r="E48" s="974"/>
      <c r="F48" s="974"/>
      <c r="G48" s="992"/>
      <c r="H48" s="403">
        <v>21496495</v>
      </c>
      <c r="I48" s="403">
        <v>194816</v>
      </c>
      <c r="J48" s="989"/>
      <c r="K48" s="989"/>
      <c r="L48" s="985"/>
      <c r="M48" s="985"/>
      <c r="N48" s="989"/>
      <c r="O48" s="989"/>
      <c r="P48" s="985"/>
      <c r="Q48" s="985"/>
      <c r="R48" s="989"/>
      <c r="S48" s="985"/>
      <c r="T48" s="985"/>
      <c r="U48" s="989"/>
      <c r="V48" s="985"/>
      <c r="W48" s="985"/>
    </row>
    <row r="49" spans="1:23" s="404" customFormat="1" ht="13.5" customHeight="1">
      <c r="A49" s="972"/>
      <c r="B49" s="992"/>
      <c r="C49" s="1007"/>
      <c r="D49" s="1003"/>
      <c r="E49" s="974"/>
      <c r="F49" s="974"/>
      <c r="G49" s="992"/>
      <c r="H49" s="403">
        <v>0</v>
      </c>
      <c r="I49" s="403">
        <v>0</v>
      </c>
      <c r="J49" s="989"/>
      <c r="K49" s="989"/>
      <c r="L49" s="985"/>
      <c r="M49" s="985"/>
      <c r="N49" s="989"/>
      <c r="O49" s="989"/>
      <c r="P49" s="985"/>
      <c r="Q49" s="985"/>
      <c r="R49" s="989"/>
      <c r="S49" s="985"/>
      <c r="T49" s="985"/>
      <c r="U49" s="989"/>
      <c r="V49" s="985"/>
      <c r="W49" s="985"/>
    </row>
    <row r="50" spans="1:23" s="404" customFormat="1" ht="13.5" customHeight="1">
      <c r="A50" s="972"/>
      <c r="B50" s="992"/>
      <c r="C50" s="1007"/>
      <c r="D50" s="1003"/>
      <c r="E50" s="974"/>
      <c r="F50" s="974"/>
      <c r="G50" s="992"/>
      <c r="H50" s="403">
        <v>201390</v>
      </c>
      <c r="I50" s="403">
        <v>34380</v>
      </c>
      <c r="J50" s="989"/>
      <c r="K50" s="989"/>
      <c r="L50" s="985"/>
      <c r="M50" s="985"/>
      <c r="N50" s="989"/>
      <c r="O50" s="989"/>
      <c r="P50" s="985"/>
      <c r="Q50" s="985"/>
      <c r="R50" s="989"/>
      <c r="S50" s="985"/>
      <c r="T50" s="985"/>
      <c r="U50" s="989"/>
      <c r="V50" s="985"/>
      <c r="W50" s="985"/>
    </row>
    <row r="51" spans="1:23" s="404" customFormat="1" ht="13.5" customHeight="1">
      <c r="A51" s="972"/>
      <c r="B51" s="993"/>
      <c r="C51" s="1008"/>
      <c r="D51" s="1004"/>
      <c r="E51" s="975"/>
      <c r="F51" s="975"/>
      <c r="G51" s="993"/>
      <c r="H51" s="403">
        <v>0</v>
      </c>
      <c r="I51" s="403">
        <v>0</v>
      </c>
      <c r="J51" s="990"/>
      <c r="K51" s="990"/>
      <c r="L51" s="986"/>
      <c r="M51" s="986"/>
      <c r="N51" s="990"/>
      <c r="O51" s="990"/>
      <c r="P51" s="986"/>
      <c r="Q51" s="986"/>
      <c r="R51" s="990"/>
      <c r="S51" s="986"/>
      <c r="T51" s="986"/>
      <c r="U51" s="990"/>
      <c r="V51" s="986"/>
      <c r="W51" s="986"/>
    </row>
    <row r="52" spans="1:23" s="404" customFormat="1" ht="12.75" customHeight="1">
      <c r="A52" s="972">
        <v>8</v>
      </c>
      <c r="B52" s="991" t="s">
        <v>427</v>
      </c>
      <c r="C52" s="1006" t="s">
        <v>516</v>
      </c>
      <c r="D52" s="1002" t="s">
        <v>517</v>
      </c>
      <c r="E52" s="973" t="s">
        <v>502</v>
      </c>
      <c r="F52" s="973" t="s">
        <v>511</v>
      </c>
      <c r="G52" s="991" t="s">
        <v>518</v>
      </c>
      <c r="H52" s="403">
        <f>H53+H54+H55+H56</f>
        <v>22747200</v>
      </c>
      <c r="I52" s="403">
        <f>I53+I54+I55+I56</f>
        <v>6463990</v>
      </c>
      <c r="J52" s="988">
        <f>K52+N52</f>
        <v>14921964</v>
      </c>
      <c r="K52" s="988">
        <f>L52+M52</f>
        <v>14361453</v>
      </c>
      <c r="L52" s="984">
        <v>624373</v>
      </c>
      <c r="M52" s="984">
        <v>13737080</v>
      </c>
      <c r="N52" s="988">
        <f>O52+R52+U52</f>
        <v>560511</v>
      </c>
      <c r="O52" s="988">
        <f>P52+Q52</f>
        <v>0</v>
      </c>
      <c r="P52" s="984">
        <v>0</v>
      </c>
      <c r="Q52" s="984">
        <v>0</v>
      </c>
      <c r="R52" s="988">
        <f>S52+T52</f>
        <v>497826</v>
      </c>
      <c r="S52" s="984">
        <v>110183</v>
      </c>
      <c r="T52" s="984">
        <v>387643</v>
      </c>
      <c r="U52" s="988">
        <f>V52+W52</f>
        <v>62685</v>
      </c>
      <c r="V52" s="984">
        <v>0</v>
      </c>
      <c r="W52" s="984">
        <v>62685</v>
      </c>
    </row>
    <row r="53" spans="1:23" s="404" customFormat="1" ht="12.75" customHeight="1">
      <c r="A53" s="972"/>
      <c r="B53" s="992"/>
      <c r="C53" s="1007"/>
      <c r="D53" s="1003"/>
      <c r="E53" s="974"/>
      <c r="F53" s="974"/>
      <c r="G53" s="992"/>
      <c r="H53" s="403">
        <v>21574001</v>
      </c>
      <c r="I53" s="403">
        <v>6055488</v>
      </c>
      <c r="J53" s="989"/>
      <c r="K53" s="989"/>
      <c r="L53" s="985"/>
      <c r="M53" s="985"/>
      <c r="N53" s="989"/>
      <c r="O53" s="989"/>
      <c r="P53" s="985"/>
      <c r="Q53" s="985"/>
      <c r="R53" s="989"/>
      <c r="S53" s="985"/>
      <c r="T53" s="985"/>
      <c r="U53" s="989"/>
      <c r="V53" s="985"/>
      <c r="W53" s="985"/>
    </row>
    <row r="54" spans="1:23" s="404" customFormat="1" ht="12.75" customHeight="1">
      <c r="A54" s="972"/>
      <c r="B54" s="992"/>
      <c r="C54" s="1007"/>
      <c r="D54" s="1003"/>
      <c r="E54" s="974"/>
      <c r="F54" s="974"/>
      <c r="G54" s="992"/>
      <c r="H54" s="403">
        <v>0</v>
      </c>
      <c r="I54" s="403">
        <v>0</v>
      </c>
      <c r="J54" s="989"/>
      <c r="K54" s="989"/>
      <c r="L54" s="985"/>
      <c r="M54" s="985"/>
      <c r="N54" s="989"/>
      <c r="O54" s="989"/>
      <c r="P54" s="985"/>
      <c r="Q54" s="985"/>
      <c r="R54" s="989"/>
      <c r="S54" s="985"/>
      <c r="T54" s="985"/>
      <c r="U54" s="989"/>
      <c r="V54" s="985"/>
      <c r="W54" s="985"/>
    </row>
    <row r="55" spans="1:23" s="404" customFormat="1" ht="12.75" customHeight="1">
      <c r="A55" s="972"/>
      <c r="B55" s="992"/>
      <c r="C55" s="1007"/>
      <c r="D55" s="1003"/>
      <c r="E55" s="974"/>
      <c r="F55" s="974"/>
      <c r="G55" s="992"/>
      <c r="H55" s="403">
        <v>1099954</v>
      </c>
      <c r="I55" s="403">
        <v>397942</v>
      </c>
      <c r="J55" s="989"/>
      <c r="K55" s="989"/>
      <c r="L55" s="985"/>
      <c r="M55" s="985"/>
      <c r="N55" s="989"/>
      <c r="O55" s="989"/>
      <c r="P55" s="985"/>
      <c r="Q55" s="985"/>
      <c r="R55" s="989"/>
      <c r="S55" s="985"/>
      <c r="T55" s="985"/>
      <c r="U55" s="989"/>
      <c r="V55" s="985"/>
      <c r="W55" s="985"/>
    </row>
    <row r="56" spans="1:23" s="404" customFormat="1" ht="12.75" customHeight="1">
      <c r="A56" s="972"/>
      <c r="B56" s="993"/>
      <c r="C56" s="1008"/>
      <c r="D56" s="1004"/>
      <c r="E56" s="975"/>
      <c r="F56" s="975"/>
      <c r="G56" s="993"/>
      <c r="H56" s="403">
        <v>73245</v>
      </c>
      <c r="I56" s="403">
        <v>10560</v>
      </c>
      <c r="J56" s="990"/>
      <c r="K56" s="990"/>
      <c r="L56" s="986"/>
      <c r="M56" s="986"/>
      <c r="N56" s="990"/>
      <c r="O56" s="990"/>
      <c r="P56" s="986"/>
      <c r="Q56" s="986"/>
      <c r="R56" s="990"/>
      <c r="S56" s="986"/>
      <c r="T56" s="986"/>
      <c r="U56" s="990"/>
      <c r="V56" s="986"/>
      <c r="W56" s="986"/>
    </row>
    <row r="57" spans="1:23" s="404" customFormat="1" ht="13.5" customHeight="1">
      <c r="A57" s="972">
        <v>9</v>
      </c>
      <c r="B57" s="968" t="s">
        <v>519</v>
      </c>
      <c r="C57" s="970" t="s">
        <v>520</v>
      </c>
      <c r="D57" s="1005" t="s">
        <v>521</v>
      </c>
      <c r="E57" s="972" t="s">
        <v>522</v>
      </c>
      <c r="F57" s="972" t="s">
        <v>523</v>
      </c>
      <c r="G57" s="968" t="s">
        <v>524</v>
      </c>
      <c r="H57" s="403">
        <f>H58+H59+H60+H61</f>
        <v>3687356</v>
      </c>
      <c r="I57" s="403">
        <f>I58+I59+I60+I61</f>
        <v>1403104</v>
      </c>
      <c r="J57" s="988">
        <f>K57+N57</f>
        <v>2284252</v>
      </c>
      <c r="K57" s="988">
        <f>L57+M57</f>
        <v>2284252</v>
      </c>
      <c r="L57" s="984">
        <v>0</v>
      </c>
      <c r="M57" s="984">
        <v>2284252</v>
      </c>
      <c r="N57" s="988">
        <f>O57+R57+U57</f>
        <v>0</v>
      </c>
      <c r="O57" s="988">
        <f>P57+Q57</f>
        <v>0</v>
      </c>
      <c r="P57" s="984">
        <v>0</v>
      </c>
      <c r="Q57" s="984">
        <v>0</v>
      </c>
      <c r="R57" s="988">
        <f>S57+T57</f>
        <v>0</v>
      </c>
      <c r="S57" s="984">
        <v>0</v>
      </c>
      <c r="T57" s="984">
        <v>0</v>
      </c>
      <c r="U57" s="988">
        <f>V57+W57</f>
        <v>0</v>
      </c>
      <c r="V57" s="984">
        <v>0</v>
      </c>
      <c r="W57" s="984">
        <v>0</v>
      </c>
    </row>
    <row r="58" spans="1:23" s="404" customFormat="1" ht="13.5" customHeight="1">
      <c r="A58" s="972"/>
      <c r="B58" s="968"/>
      <c r="C58" s="970"/>
      <c r="D58" s="1005"/>
      <c r="E58" s="972"/>
      <c r="F58" s="972"/>
      <c r="G58" s="968"/>
      <c r="H58" s="403">
        <v>3134252</v>
      </c>
      <c r="I58" s="403">
        <v>850000</v>
      </c>
      <c r="J58" s="989"/>
      <c r="K58" s="989"/>
      <c r="L58" s="985"/>
      <c r="M58" s="985"/>
      <c r="N58" s="989"/>
      <c r="O58" s="989"/>
      <c r="P58" s="985"/>
      <c r="Q58" s="985"/>
      <c r="R58" s="989"/>
      <c r="S58" s="985"/>
      <c r="T58" s="985"/>
      <c r="U58" s="989"/>
      <c r="V58" s="985"/>
      <c r="W58" s="985"/>
    </row>
    <row r="59" spans="1:23" s="404" customFormat="1" ht="13.5" customHeight="1">
      <c r="A59" s="972"/>
      <c r="B59" s="968"/>
      <c r="C59" s="970"/>
      <c r="D59" s="1005"/>
      <c r="E59" s="972"/>
      <c r="F59" s="972"/>
      <c r="G59" s="968"/>
      <c r="H59" s="403">
        <v>0</v>
      </c>
      <c r="I59" s="403">
        <v>0</v>
      </c>
      <c r="J59" s="989"/>
      <c r="K59" s="989"/>
      <c r="L59" s="985"/>
      <c r="M59" s="985"/>
      <c r="N59" s="989"/>
      <c r="O59" s="989"/>
      <c r="P59" s="985"/>
      <c r="Q59" s="985"/>
      <c r="R59" s="989"/>
      <c r="S59" s="985"/>
      <c r="T59" s="985"/>
      <c r="U59" s="989"/>
      <c r="V59" s="985"/>
      <c r="W59" s="985"/>
    </row>
    <row r="60" spans="1:23" s="404" customFormat="1" ht="13.5" customHeight="1">
      <c r="A60" s="972"/>
      <c r="B60" s="968"/>
      <c r="C60" s="970"/>
      <c r="D60" s="1005"/>
      <c r="E60" s="972"/>
      <c r="F60" s="972"/>
      <c r="G60" s="968"/>
      <c r="H60" s="403">
        <v>0</v>
      </c>
      <c r="I60" s="403">
        <v>0</v>
      </c>
      <c r="J60" s="989"/>
      <c r="K60" s="989"/>
      <c r="L60" s="985"/>
      <c r="M60" s="985"/>
      <c r="N60" s="989"/>
      <c r="O60" s="989"/>
      <c r="P60" s="985"/>
      <c r="Q60" s="985"/>
      <c r="R60" s="989"/>
      <c r="S60" s="985"/>
      <c r="T60" s="985"/>
      <c r="U60" s="989"/>
      <c r="V60" s="985"/>
      <c r="W60" s="985"/>
    </row>
    <row r="61" spans="1:23" s="404" customFormat="1" ht="13.5" customHeight="1">
      <c r="A61" s="972"/>
      <c r="B61" s="968"/>
      <c r="C61" s="970"/>
      <c r="D61" s="1005"/>
      <c r="E61" s="972"/>
      <c r="F61" s="972"/>
      <c r="G61" s="968"/>
      <c r="H61" s="403">
        <v>553104</v>
      </c>
      <c r="I61" s="403">
        <v>553104</v>
      </c>
      <c r="J61" s="990"/>
      <c r="K61" s="990"/>
      <c r="L61" s="986"/>
      <c r="M61" s="986"/>
      <c r="N61" s="990"/>
      <c r="O61" s="990"/>
      <c r="P61" s="986"/>
      <c r="Q61" s="986"/>
      <c r="R61" s="990"/>
      <c r="S61" s="986"/>
      <c r="T61" s="986"/>
      <c r="U61" s="990"/>
      <c r="V61" s="986"/>
      <c r="W61" s="986"/>
    </row>
    <row r="62" spans="1:23" s="404" customFormat="1" ht="12.75" customHeight="1">
      <c r="A62" s="972">
        <v>10</v>
      </c>
      <c r="B62" s="991" t="s">
        <v>525</v>
      </c>
      <c r="C62" s="1006" t="s">
        <v>520</v>
      </c>
      <c r="D62" s="1002" t="s">
        <v>526</v>
      </c>
      <c r="E62" s="973" t="s">
        <v>502</v>
      </c>
      <c r="F62" s="973" t="s">
        <v>527</v>
      </c>
      <c r="G62" s="991" t="s">
        <v>528</v>
      </c>
      <c r="H62" s="403">
        <f>H63+H64+H65+H66</f>
        <v>621438</v>
      </c>
      <c r="I62" s="403">
        <f>I63+I64+I65+I66</f>
        <v>180633</v>
      </c>
      <c r="J62" s="988">
        <f>K62+N62</f>
        <v>289058</v>
      </c>
      <c r="K62" s="988">
        <f>L62+M62</f>
        <v>0</v>
      </c>
      <c r="L62" s="984">
        <v>0</v>
      </c>
      <c r="M62" s="984">
        <v>0</v>
      </c>
      <c r="N62" s="988">
        <f>O62+R62+U62</f>
        <v>289058</v>
      </c>
      <c r="O62" s="988">
        <f>P62+Q62</f>
        <v>0</v>
      </c>
      <c r="P62" s="984">
        <v>0</v>
      </c>
      <c r="Q62" s="984">
        <v>0</v>
      </c>
      <c r="R62" s="988">
        <f>S62+T62</f>
        <v>289058</v>
      </c>
      <c r="S62" s="984">
        <v>0</v>
      </c>
      <c r="T62" s="984">
        <v>289058</v>
      </c>
      <c r="U62" s="988">
        <f>V62+W62</f>
        <v>0</v>
      </c>
      <c r="V62" s="984">
        <v>0</v>
      </c>
      <c r="W62" s="984">
        <v>0</v>
      </c>
    </row>
    <row r="63" spans="1:23" s="404" customFormat="1" ht="12.75" customHeight="1">
      <c r="A63" s="972"/>
      <c r="B63" s="992"/>
      <c r="C63" s="1007"/>
      <c r="D63" s="1003"/>
      <c r="E63" s="974"/>
      <c r="F63" s="974"/>
      <c r="G63" s="992"/>
      <c r="H63" s="403">
        <v>0</v>
      </c>
      <c r="I63" s="403">
        <v>0</v>
      </c>
      <c r="J63" s="989"/>
      <c r="K63" s="989"/>
      <c r="L63" s="985"/>
      <c r="M63" s="985"/>
      <c r="N63" s="989"/>
      <c r="O63" s="989"/>
      <c r="P63" s="985"/>
      <c r="Q63" s="985"/>
      <c r="R63" s="989"/>
      <c r="S63" s="985"/>
      <c r="T63" s="985"/>
      <c r="U63" s="989"/>
      <c r="V63" s="985"/>
      <c r="W63" s="985"/>
    </row>
    <row r="64" spans="1:23" s="404" customFormat="1" ht="12.75" customHeight="1">
      <c r="A64" s="972"/>
      <c r="B64" s="992"/>
      <c r="C64" s="1007"/>
      <c r="D64" s="1003"/>
      <c r="E64" s="974"/>
      <c r="F64" s="974"/>
      <c r="G64" s="992"/>
      <c r="H64" s="403">
        <v>0</v>
      </c>
      <c r="I64" s="403">
        <v>0</v>
      </c>
      <c r="J64" s="989"/>
      <c r="K64" s="989"/>
      <c r="L64" s="985"/>
      <c r="M64" s="985"/>
      <c r="N64" s="989"/>
      <c r="O64" s="989"/>
      <c r="P64" s="985"/>
      <c r="Q64" s="985"/>
      <c r="R64" s="989"/>
      <c r="S64" s="985"/>
      <c r="T64" s="985"/>
      <c r="U64" s="989"/>
      <c r="V64" s="985"/>
      <c r="W64" s="985"/>
    </row>
    <row r="65" spans="1:23" s="404" customFormat="1" ht="12.75" customHeight="1">
      <c r="A65" s="972"/>
      <c r="B65" s="992"/>
      <c r="C65" s="1007"/>
      <c r="D65" s="1003"/>
      <c r="E65" s="974"/>
      <c r="F65" s="974"/>
      <c r="G65" s="992"/>
      <c r="H65" s="403">
        <v>621438</v>
      </c>
      <c r="I65" s="403">
        <v>180633</v>
      </c>
      <c r="J65" s="989"/>
      <c r="K65" s="989"/>
      <c r="L65" s="985"/>
      <c r="M65" s="985"/>
      <c r="N65" s="989"/>
      <c r="O65" s="989"/>
      <c r="P65" s="985"/>
      <c r="Q65" s="985"/>
      <c r="R65" s="989"/>
      <c r="S65" s="985"/>
      <c r="T65" s="985"/>
      <c r="U65" s="989"/>
      <c r="V65" s="985"/>
      <c r="W65" s="985"/>
    </row>
    <row r="66" spans="1:23" s="404" customFormat="1" ht="12.75" customHeight="1">
      <c r="A66" s="972"/>
      <c r="B66" s="993"/>
      <c r="C66" s="1008"/>
      <c r="D66" s="1004"/>
      <c r="E66" s="975"/>
      <c r="F66" s="975"/>
      <c r="G66" s="993"/>
      <c r="H66" s="403">
        <v>0</v>
      </c>
      <c r="I66" s="403">
        <v>0</v>
      </c>
      <c r="J66" s="990"/>
      <c r="K66" s="990"/>
      <c r="L66" s="986"/>
      <c r="M66" s="986"/>
      <c r="N66" s="990"/>
      <c r="O66" s="990"/>
      <c r="P66" s="986"/>
      <c r="Q66" s="986"/>
      <c r="R66" s="990"/>
      <c r="S66" s="986"/>
      <c r="T66" s="986"/>
      <c r="U66" s="990"/>
      <c r="V66" s="986"/>
      <c r="W66" s="986"/>
    </row>
    <row r="67" spans="1:23" s="404" customFormat="1" ht="13.5" customHeight="1">
      <c r="A67" s="972">
        <v>11</v>
      </c>
      <c r="B67" s="991" t="s">
        <v>525</v>
      </c>
      <c r="C67" s="1006" t="s">
        <v>520</v>
      </c>
      <c r="D67" s="1002" t="s">
        <v>529</v>
      </c>
      <c r="E67" s="973" t="s">
        <v>502</v>
      </c>
      <c r="F67" s="973" t="s">
        <v>527</v>
      </c>
      <c r="G67" s="991" t="s">
        <v>530</v>
      </c>
      <c r="H67" s="403">
        <f>H68+H69+H70+H71</f>
        <v>1377280</v>
      </c>
      <c r="I67" s="403">
        <f>I68+I69+I70+I71</f>
        <v>0</v>
      </c>
      <c r="J67" s="988">
        <f>K67+N67</f>
        <v>660000</v>
      </c>
      <c r="K67" s="988">
        <f>L67+M67</f>
        <v>0</v>
      </c>
      <c r="L67" s="984">
        <v>0</v>
      </c>
      <c r="M67" s="984">
        <v>0</v>
      </c>
      <c r="N67" s="988">
        <f>O67+R67+U67</f>
        <v>660000</v>
      </c>
      <c r="O67" s="988">
        <f>P67+Q67</f>
        <v>0</v>
      </c>
      <c r="P67" s="984">
        <v>0</v>
      </c>
      <c r="Q67" s="984">
        <v>0</v>
      </c>
      <c r="R67" s="988">
        <f>S67+T67</f>
        <v>660000</v>
      </c>
      <c r="S67" s="984">
        <v>0</v>
      </c>
      <c r="T67" s="984">
        <v>660000</v>
      </c>
      <c r="U67" s="988">
        <f>V67+W67</f>
        <v>0</v>
      </c>
      <c r="V67" s="984">
        <v>0</v>
      </c>
      <c r="W67" s="984">
        <v>0</v>
      </c>
    </row>
    <row r="68" spans="1:23" s="404" customFormat="1" ht="13.5" customHeight="1">
      <c r="A68" s="972"/>
      <c r="B68" s="992"/>
      <c r="C68" s="1007"/>
      <c r="D68" s="1003"/>
      <c r="E68" s="974"/>
      <c r="F68" s="974"/>
      <c r="G68" s="992"/>
      <c r="H68" s="403">
        <v>0</v>
      </c>
      <c r="I68" s="403">
        <v>0</v>
      </c>
      <c r="J68" s="989"/>
      <c r="K68" s="989"/>
      <c r="L68" s="985"/>
      <c r="M68" s="985"/>
      <c r="N68" s="989"/>
      <c r="O68" s="989"/>
      <c r="P68" s="985"/>
      <c r="Q68" s="985"/>
      <c r="R68" s="989"/>
      <c r="S68" s="985"/>
      <c r="T68" s="985"/>
      <c r="U68" s="989"/>
      <c r="V68" s="985"/>
      <c r="W68" s="985"/>
    </row>
    <row r="69" spans="1:23" s="404" customFormat="1" ht="13.5" customHeight="1">
      <c r="A69" s="972"/>
      <c r="B69" s="992"/>
      <c r="C69" s="1007"/>
      <c r="D69" s="1003"/>
      <c r="E69" s="974"/>
      <c r="F69" s="974"/>
      <c r="G69" s="992"/>
      <c r="H69" s="403">
        <v>0</v>
      </c>
      <c r="I69" s="403">
        <v>0</v>
      </c>
      <c r="J69" s="989"/>
      <c r="K69" s="989"/>
      <c r="L69" s="985"/>
      <c r="M69" s="985"/>
      <c r="N69" s="989"/>
      <c r="O69" s="989"/>
      <c r="P69" s="985"/>
      <c r="Q69" s="985"/>
      <c r="R69" s="989"/>
      <c r="S69" s="985"/>
      <c r="T69" s="985"/>
      <c r="U69" s="989"/>
      <c r="V69" s="985"/>
      <c r="W69" s="985"/>
    </row>
    <row r="70" spans="1:23" s="404" customFormat="1" ht="13.5" customHeight="1">
      <c r="A70" s="972"/>
      <c r="B70" s="992"/>
      <c r="C70" s="1007"/>
      <c r="D70" s="1003"/>
      <c r="E70" s="974"/>
      <c r="F70" s="974"/>
      <c r="G70" s="992"/>
      <c r="H70" s="403">
        <v>1377280</v>
      </c>
      <c r="I70" s="403">
        <v>0</v>
      </c>
      <c r="J70" s="989"/>
      <c r="K70" s="989"/>
      <c r="L70" s="985"/>
      <c r="M70" s="985"/>
      <c r="N70" s="989"/>
      <c r="O70" s="989"/>
      <c r="P70" s="985"/>
      <c r="Q70" s="985"/>
      <c r="R70" s="989"/>
      <c r="S70" s="985"/>
      <c r="T70" s="985"/>
      <c r="U70" s="989"/>
      <c r="V70" s="985"/>
      <c r="W70" s="985"/>
    </row>
    <row r="71" spans="1:23" s="404" customFormat="1" ht="13.5" customHeight="1">
      <c r="A71" s="972"/>
      <c r="B71" s="993"/>
      <c r="C71" s="1008"/>
      <c r="D71" s="1004"/>
      <c r="E71" s="975"/>
      <c r="F71" s="975"/>
      <c r="G71" s="993"/>
      <c r="H71" s="403">
        <v>0</v>
      </c>
      <c r="I71" s="403">
        <v>0</v>
      </c>
      <c r="J71" s="990"/>
      <c r="K71" s="990"/>
      <c r="L71" s="986"/>
      <c r="M71" s="986"/>
      <c r="N71" s="990"/>
      <c r="O71" s="990"/>
      <c r="P71" s="986"/>
      <c r="Q71" s="986"/>
      <c r="R71" s="990"/>
      <c r="S71" s="986"/>
      <c r="T71" s="986"/>
      <c r="U71" s="990"/>
      <c r="V71" s="986"/>
      <c r="W71" s="986"/>
    </row>
    <row r="72" spans="1:23" s="404" customFormat="1" ht="13.5" customHeight="1">
      <c r="A72" s="972">
        <v>12</v>
      </c>
      <c r="B72" s="991" t="s">
        <v>525</v>
      </c>
      <c r="C72" s="1006" t="s">
        <v>520</v>
      </c>
      <c r="D72" s="1002" t="s">
        <v>531</v>
      </c>
      <c r="E72" s="973" t="s">
        <v>502</v>
      </c>
      <c r="F72" s="973" t="s">
        <v>527</v>
      </c>
      <c r="G72" s="991">
        <v>2019</v>
      </c>
      <c r="H72" s="403">
        <f>H73+H74+H75+H76</f>
        <v>106500</v>
      </c>
      <c r="I72" s="403">
        <f>I73+I74+I75+I76</f>
        <v>0</v>
      </c>
      <c r="J72" s="988">
        <f>K72+N72</f>
        <v>106500</v>
      </c>
      <c r="K72" s="988">
        <f>L72+M72</f>
        <v>0</v>
      </c>
      <c r="L72" s="984">
        <v>0</v>
      </c>
      <c r="M72" s="984">
        <v>0</v>
      </c>
      <c r="N72" s="988">
        <f>O72+R72+U72</f>
        <v>106500</v>
      </c>
      <c r="O72" s="988">
        <f>P72+Q72</f>
        <v>0</v>
      </c>
      <c r="P72" s="984">
        <v>0</v>
      </c>
      <c r="Q72" s="984">
        <v>0</v>
      </c>
      <c r="R72" s="988">
        <f>S72+T72</f>
        <v>106500</v>
      </c>
      <c r="S72" s="984">
        <v>0</v>
      </c>
      <c r="T72" s="984">
        <v>106500</v>
      </c>
      <c r="U72" s="988">
        <f>V72+W72</f>
        <v>0</v>
      </c>
      <c r="V72" s="984">
        <v>0</v>
      </c>
      <c r="W72" s="984">
        <v>0</v>
      </c>
    </row>
    <row r="73" spans="1:23" s="404" customFormat="1" ht="13.5" customHeight="1">
      <c r="A73" s="972"/>
      <c r="B73" s="992"/>
      <c r="C73" s="1007"/>
      <c r="D73" s="1003"/>
      <c r="E73" s="974"/>
      <c r="F73" s="974"/>
      <c r="G73" s="992"/>
      <c r="H73" s="403">
        <v>0</v>
      </c>
      <c r="I73" s="403">
        <v>0</v>
      </c>
      <c r="J73" s="989"/>
      <c r="K73" s="989"/>
      <c r="L73" s="985"/>
      <c r="M73" s="985"/>
      <c r="N73" s="989"/>
      <c r="O73" s="989"/>
      <c r="P73" s="985"/>
      <c r="Q73" s="985"/>
      <c r="R73" s="989"/>
      <c r="S73" s="985"/>
      <c r="T73" s="985"/>
      <c r="U73" s="989"/>
      <c r="V73" s="985"/>
      <c r="W73" s="985"/>
    </row>
    <row r="74" spans="1:23" s="404" customFormat="1" ht="13.5" customHeight="1">
      <c r="A74" s="972"/>
      <c r="B74" s="992"/>
      <c r="C74" s="1007"/>
      <c r="D74" s="1003"/>
      <c r="E74" s="974"/>
      <c r="F74" s="974"/>
      <c r="G74" s="992"/>
      <c r="H74" s="403">
        <v>0</v>
      </c>
      <c r="I74" s="403">
        <v>0</v>
      </c>
      <c r="J74" s="989"/>
      <c r="K74" s="989"/>
      <c r="L74" s="985"/>
      <c r="M74" s="985"/>
      <c r="N74" s="989"/>
      <c r="O74" s="989"/>
      <c r="P74" s="985"/>
      <c r="Q74" s="985"/>
      <c r="R74" s="989"/>
      <c r="S74" s="985"/>
      <c r="T74" s="985"/>
      <c r="U74" s="989"/>
      <c r="V74" s="985"/>
      <c r="W74" s="985"/>
    </row>
    <row r="75" spans="1:23" s="404" customFormat="1" ht="13.5" customHeight="1">
      <c r="A75" s="972"/>
      <c r="B75" s="992"/>
      <c r="C75" s="1007"/>
      <c r="D75" s="1003"/>
      <c r="E75" s="974"/>
      <c r="F75" s="974"/>
      <c r="G75" s="992"/>
      <c r="H75" s="403">
        <v>106500</v>
      </c>
      <c r="I75" s="403">
        <v>0</v>
      </c>
      <c r="J75" s="989"/>
      <c r="K75" s="989"/>
      <c r="L75" s="985"/>
      <c r="M75" s="985"/>
      <c r="N75" s="989"/>
      <c r="O75" s="989"/>
      <c r="P75" s="985"/>
      <c r="Q75" s="985"/>
      <c r="R75" s="989"/>
      <c r="S75" s="985"/>
      <c r="T75" s="985"/>
      <c r="U75" s="989"/>
      <c r="V75" s="985"/>
      <c r="W75" s="985"/>
    </row>
    <row r="76" spans="1:23" s="404" customFormat="1" ht="13.5" customHeight="1">
      <c r="A76" s="972"/>
      <c r="B76" s="993"/>
      <c r="C76" s="1008"/>
      <c r="D76" s="1004"/>
      <c r="E76" s="975"/>
      <c r="F76" s="975"/>
      <c r="G76" s="993"/>
      <c r="H76" s="403">
        <v>0</v>
      </c>
      <c r="I76" s="403">
        <v>0</v>
      </c>
      <c r="J76" s="990"/>
      <c r="K76" s="990"/>
      <c r="L76" s="986"/>
      <c r="M76" s="986"/>
      <c r="N76" s="990"/>
      <c r="O76" s="990"/>
      <c r="P76" s="986"/>
      <c r="Q76" s="986"/>
      <c r="R76" s="990"/>
      <c r="S76" s="986"/>
      <c r="T76" s="986"/>
      <c r="U76" s="990"/>
      <c r="V76" s="986"/>
      <c r="W76" s="986"/>
    </row>
    <row r="77" spans="1:23" s="404" customFormat="1" ht="15.75" customHeight="1">
      <c r="A77" s="972">
        <v>13</v>
      </c>
      <c r="B77" s="991" t="s">
        <v>525</v>
      </c>
      <c r="C77" s="1006" t="s">
        <v>520</v>
      </c>
      <c r="D77" s="1002" t="s">
        <v>532</v>
      </c>
      <c r="E77" s="973" t="s">
        <v>522</v>
      </c>
      <c r="F77" s="973" t="s">
        <v>527</v>
      </c>
      <c r="G77" s="991" t="s">
        <v>518</v>
      </c>
      <c r="H77" s="403">
        <f>H78+H79+H80+H81</f>
        <v>8745088</v>
      </c>
      <c r="I77" s="403">
        <f>I78+I79+I80+I81</f>
        <v>734104</v>
      </c>
      <c r="J77" s="988">
        <f>K77+N77</f>
        <v>6101591</v>
      </c>
      <c r="K77" s="988">
        <f>L77+M77</f>
        <v>2687486</v>
      </c>
      <c r="L77" s="984">
        <v>0</v>
      </c>
      <c r="M77" s="984">
        <v>2687486</v>
      </c>
      <c r="N77" s="988">
        <f>O77+R77+U77</f>
        <v>3414105</v>
      </c>
      <c r="O77" s="988">
        <f>P77+Q77</f>
        <v>0</v>
      </c>
      <c r="P77" s="984">
        <v>0</v>
      </c>
      <c r="Q77" s="984">
        <v>0</v>
      </c>
      <c r="R77" s="988">
        <f>S77+T77</f>
        <v>1365642</v>
      </c>
      <c r="S77" s="984">
        <v>0</v>
      </c>
      <c r="T77" s="984">
        <v>1365642</v>
      </c>
      <c r="U77" s="988">
        <f>V77+W77</f>
        <v>2048463</v>
      </c>
      <c r="V77" s="984">
        <v>0</v>
      </c>
      <c r="W77" s="984">
        <v>2048463</v>
      </c>
    </row>
    <row r="78" spans="1:23" s="404" customFormat="1" ht="15.75" customHeight="1">
      <c r="A78" s="972"/>
      <c r="B78" s="992"/>
      <c r="C78" s="1007"/>
      <c r="D78" s="1003"/>
      <c r="E78" s="974"/>
      <c r="F78" s="974"/>
      <c r="G78" s="992"/>
      <c r="H78" s="403">
        <v>3798257</v>
      </c>
      <c r="I78" s="403">
        <v>308464</v>
      </c>
      <c r="J78" s="989"/>
      <c r="K78" s="989"/>
      <c r="L78" s="985"/>
      <c r="M78" s="985"/>
      <c r="N78" s="989"/>
      <c r="O78" s="989"/>
      <c r="P78" s="985"/>
      <c r="Q78" s="985"/>
      <c r="R78" s="989"/>
      <c r="S78" s="985"/>
      <c r="T78" s="985"/>
      <c r="U78" s="989"/>
      <c r="V78" s="985"/>
      <c r="W78" s="985"/>
    </row>
    <row r="79" spans="1:23" s="404" customFormat="1" ht="15.75" customHeight="1">
      <c r="A79" s="972"/>
      <c r="B79" s="992"/>
      <c r="C79" s="1007"/>
      <c r="D79" s="1003"/>
      <c r="E79" s="974"/>
      <c r="F79" s="974"/>
      <c r="G79" s="992"/>
      <c r="H79" s="403">
        <v>0</v>
      </c>
      <c r="I79" s="403">
        <v>0</v>
      </c>
      <c r="J79" s="989"/>
      <c r="K79" s="989"/>
      <c r="L79" s="985"/>
      <c r="M79" s="985"/>
      <c r="N79" s="989"/>
      <c r="O79" s="989"/>
      <c r="P79" s="985"/>
      <c r="Q79" s="985"/>
      <c r="R79" s="989"/>
      <c r="S79" s="985"/>
      <c r="T79" s="985"/>
      <c r="U79" s="989"/>
      <c r="V79" s="985"/>
      <c r="W79" s="985"/>
    </row>
    <row r="80" spans="1:23" s="404" customFormat="1" ht="15.75" customHeight="1">
      <c r="A80" s="972"/>
      <c r="B80" s="992"/>
      <c r="C80" s="1007"/>
      <c r="D80" s="1003"/>
      <c r="E80" s="974"/>
      <c r="F80" s="974"/>
      <c r="G80" s="992"/>
      <c r="H80" s="403">
        <v>1978733</v>
      </c>
      <c r="I80" s="403">
        <v>170256</v>
      </c>
      <c r="J80" s="989"/>
      <c r="K80" s="989"/>
      <c r="L80" s="985"/>
      <c r="M80" s="985"/>
      <c r="N80" s="989"/>
      <c r="O80" s="989"/>
      <c r="P80" s="985"/>
      <c r="Q80" s="985"/>
      <c r="R80" s="989"/>
      <c r="S80" s="985"/>
      <c r="T80" s="985"/>
      <c r="U80" s="989"/>
      <c r="V80" s="985"/>
      <c r="W80" s="985"/>
    </row>
    <row r="81" spans="1:23" s="404" customFormat="1" ht="15.75" customHeight="1">
      <c r="A81" s="972"/>
      <c r="B81" s="993"/>
      <c r="C81" s="1008"/>
      <c r="D81" s="1004"/>
      <c r="E81" s="975"/>
      <c r="F81" s="975"/>
      <c r="G81" s="993"/>
      <c r="H81" s="403">
        <v>2968098</v>
      </c>
      <c r="I81" s="403">
        <v>255384</v>
      </c>
      <c r="J81" s="990"/>
      <c r="K81" s="990"/>
      <c r="L81" s="986"/>
      <c r="M81" s="986"/>
      <c r="N81" s="990"/>
      <c r="O81" s="990"/>
      <c r="P81" s="986"/>
      <c r="Q81" s="986"/>
      <c r="R81" s="990"/>
      <c r="S81" s="986"/>
      <c r="T81" s="986"/>
      <c r="U81" s="990"/>
      <c r="V81" s="986"/>
      <c r="W81" s="986"/>
    </row>
    <row r="82" spans="1:23" s="404" customFormat="1" ht="12.75" customHeight="1">
      <c r="A82" s="972">
        <v>14</v>
      </c>
      <c r="B82" s="991" t="s">
        <v>525</v>
      </c>
      <c r="C82" s="1006" t="s">
        <v>520</v>
      </c>
      <c r="D82" s="1002" t="s">
        <v>533</v>
      </c>
      <c r="E82" s="973" t="s">
        <v>522</v>
      </c>
      <c r="F82" s="973" t="s">
        <v>527</v>
      </c>
      <c r="G82" s="991" t="s">
        <v>518</v>
      </c>
      <c r="H82" s="403">
        <f>H83+H84+H85+H86</f>
        <v>6216006</v>
      </c>
      <c r="I82" s="403">
        <f>I83+I84+I85+I86</f>
        <v>415431</v>
      </c>
      <c r="J82" s="988">
        <f>K82+N82</f>
        <v>4468585</v>
      </c>
      <c r="K82" s="988">
        <f>L82+M82</f>
        <v>1443155</v>
      </c>
      <c r="L82" s="984">
        <v>0</v>
      </c>
      <c r="M82" s="984">
        <v>1443155</v>
      </c>
      <c r="N82" s="988">
        <f>O82+R82+U82</f>
        <v>3025430</v>
      </c>
      <c r="O82" s="988">
        <f>P82+Q82</f>
        <v>0</v>
      </c>
      <c r="P82" s="984">
        <v>0</v>
      </c>
      <c r="Q82" s="984">
        <v>0</v>
      </c>
      <c r="R82" s="988">
        <f>S82+T82</f>
        <v>1210172</v>
      </c>
      <c r="S82" s="984">
        <v>0</v>
      </c>
      <c r="T82" s="984">
        <v>1210172</v>
      </c>
      <c r="U82" s="988">
        <f>V82+W82</f>
        <v>1815258</v>
      </c>
      <c r="V82" s="984">
        <v>0</v>
      </c>
      <c r="W82" s="984">
        <v>1815258</v>
      </c>
    </row>
    <row r="83" spans="1:23" s="404" customFormat="1" ht="12.75" customHeight="1">
      <c r="A83" s="972"/>
      <c r="B83" s="992"/>
      <c r="C83" s="1007"/>
      <c r="D83" s="1003"/>
      <c r="E83" s="974"/>
      <c r="F83" s="974"/>
      <c r="G83" s="992"/>
      <c r="H83" s="403">
        <v>1939207</v>
      </c>
      <c r="I83" s="403">
        <v>134347</v>
      </c>
      <c r="J83" s="989"/>
      <c r="K83" s="989"/>
      <c r="L83" s="985"/>
      <c r="M83" s="985"/>
      <c r="N83" s="989"/>
      <c r="O83" s="989"/>
      <c r="P83" s="985"/>
      <c r="Q83" s="985"/>
      <c r="R83" s="989"/>
      <c r="S83" s="985"/>
      <c r="T83" s="985"/>
      <c r="U83" s="989"/>
      <c r="V83" s="985"/>
      <c r="W83" s="985"/>
    </row>
    <row r="84" spans="1:23" s="404" customFormat="1" ht="12.75" customHeight="1">
      <c r="A84" s="972"/>
      <c r="B84" s="992"/>
      <c r="C84" s="1007"/>
      <c r="D84" s="1003"/>
      <c r="E84" s="974"/>
      <c r="F84" s="974"/>
      <c r="G84" s="992"/>
      <c r="H84" s="403">
        <v>0</v>
      </c>
      <c r="I84" s="403">
        <v>0</v>
      </c>
      <c r="J84" s="989"/>
      <c r="K84" s="989"/>
      <c r="L84" s="985"/>
      <c r="M84" s="985"/>
      <c r="N84" s="989"/>
      <c r="O84" s="989"/>
      <c r="P84" s="985"/>
      <c r="Q84" s="985"/>
      <c r="R84" s="989"/>
      <c r="S84" s="985"/>
      <c r="T84" s="985"/>
      <c r="U84" s="989"/>
      <c r="V84" s="985"/>
      <c r="W84" s="985"/>
    </row>
    <row r="85" spans="1:23" s="404" customFormat="1" ht="12.75" customHeight="1">
      <c r="A85" s="972"/>
      <c r="B85" s="992"/>
      <c r="C85" s="1007"/>
      <c r="D85" s="1003"/>
      <c r="E85" s="974"/>
      <c r="F85" s="974"/>
      <c r="G85" s="992"/>
      <c r="H85" s="403">
        <v>1710720</v>
      </c>
      <c r="I85" s="403">
        <v>112434</v>
      </c>
      <c r="J85" s="989"/>
      <c r="K85" s="989"/>
      <c r="L85" s="985"/>
      <c r="M85" s="985"/>
      <c r="N85" s="989"/>
      <c r="O85" s="989"/>
      <c r="P85" s="985"/>
      <c r="Q85" s="985"/>
      <c r="R85" s="989"/>
      <c r="S85" s="985"/>
      <c r="T85" s="985"/>
      <c r="U85" s="989"/>
      <c r="V85" s="985"/>
      <c r="W85" s="985"/>
    </row>
    <row r="86" spans="1:23" s="404" customFormat="1" ht="12.75" customHeight="1">
      <c r="A86" s="972"/>
      <c r="B86" s="993"/>
      <c r="C86" s="1008"/>
      <c r="D86" s="1004"/>
      <c r="E86" s="975"/>
      <c r="F86" s="975"/>
      <c r="G86" s="993"/>
      <c r="H86" s="403">
        <v>2566079</v>
      </c>
      <c r="I86" s="403">
        <v>168650</v>
      </c>
      <c r="J86" s="990"/>
      <c r="K86" s="990"/>
      <c r="L86" s="986"/>
      <c r="M86" s="986"/>
      <c r="N86" s="990"/>
      <c r="O86" s="990"/>
      <c r="P86" s="986"/>
      <c r="Q86" s="986"/>
      <c r="R86" s="990"/>
      <c r="S86" s="986"/>
      <c r="T86" s="986"/>
      <c r="U86" s="990"/>
      <c r="V86" s="986"/>
      <c r="W86" s="986"/>
    </row>
    <row r="87" spans="1:23" s="404" customFormat="1" ht="13.5" customHeight="1">
      <c r="A87" s="972">
        <v>15</v>
      </c>
      <c r="B87" s="991" t="s">
        <v>525</v>
      </c>
      <c r="C87" s="1006" t="s">
        <v>520</v>
      </c>
      <c r="D87" s="1002" t="s">
        <v>534</v>
      </c>
      <c r="E87" s="973" t="s">
        <v>522</v>
      </c>
      <c r="F87" s="973" t="s">
        <v>527</v>
      </c>
      <c r="G87" s="991" t="s">
        <v>518</v>
      </c>
      <c r="H87" s="403">
        <f>H88+H89+H90+H91</f>
        <v>6077984</v>
      </c>
      <c r="I87" s="403">
        <f>I88+I89+I90+I91</f>
        <v>420569</v>
      </c>
      <c r="J87" s="988">
        <f>K87+N87</f>
        <v>4359803</v>
      </c>
      <c r="K87" s="988">
        <f>L87+M87</f>
        <v>1417699</v>
      </c>
      <c r="L87" s="984">
        <v>0</v>
      </c>
      <c r="M87" s="984">
        <v>1417699</v>
      </c>
      <c r="N87" s="988">
        <f>O87+R87+U87</f>
        <v>2942104</v>
      </c>
      <c r="O87" s="988">
        <f>P87+Q87</f>
        <v>0</v>
      </c>
      <c r="P87" s="984">
        <v>0</v>
      </c>
      <c r="Q87" s="984">
        <v>0</v>
      </c>
      <c r="R87" s="988">
        <f>S87+T87</f>
        <v>1176842</v>
      </c>
      <c r="S87" s="984">
        <v>0</v>
      </c>
      <c r="T87" s="984">
        <v>1176842</v>
      </c>
      <c r="U87" s="988">
        <f>V87+W87</f>
        <v>1765262</v>
      </c>
      <c r="V87" s="984">
        <v>0</v>
      </c>
      <c r="W87" s="984">
        <v>1765262</v>
      </c>
    </row>
    <row r="88" spans="1:23" s="404" customFormat="1" ht="13.5" customHeight="1">
      <c r="A88" s="972"/>
      <c r="B88" s="992"/>
      <c r="C88" s="1007"/>
      <c r="D88" s="1003"/>
      <c r="E88" s="974"/>
      <c r="F88" s="974"/>
      <c r="G88" s="992"/>
      <c r="H88" s="403">
        <v>1908240</v>
      </c>
      <c r="I88" s="403">
        <v>126715</v>
      </c>
      <c r="J88" s="989"/>
      <c r="K88" s="989"/>
      <c r="L88" s="985"/>
      <c r="M88" s="985"/>
      <c r="N88" s="989"/>
      <c r="O88" s="989"/>
      <c r="P88" s="985"/>
      <c r="Q88" s="985"/>
      <c r="R88" s="989"/>
      <c r="S88" s="985"/>
      <c r="T88" s="985"/>
      <c r="U88" s="989"/>
      <c r="V88" s="985"/>
      <c r="W88" s="985"/>
    </row>
    <row r="89" spans="1:23" s="404" customFormat="1" ht="13.5" customHeight="1">
      <c r="A89" s="972"/>
      <c r="B89" s="992"/>
      <c r="C89" s="1007"/>
      <c r="D89" s="1003"/>
      <c r="E89" s="974"/>
      <c r="F89" s="974"/>
      <c r="G89" s="992"/>
      <c r="H89" s="403">
        <v>0</v>
      </c>
      <c r="I89" s="403">
        <v>0</v>
      </c>
      <c r="J89" s="989"/>
      <c r="K89" s="989"/>
      <c r="L89" s="985"/>
      <c r="M89" s="985"/>
      <c r="N89" s="989"/>
      <c r="O89" s="989"/>
      <c r="P89" s="985"/>
      <c r="Q89" s="985"/>
      <c r="R89" s="989"/>
      <c r="S89" s="985"/>
      <c r="T89" s="985"/>
      <c r="U89" s="989"/>
      <c r="V89" s="985"/>
      <c r="W89" s="985"/>
    </row>
    <row r="90" spans="1:23" s="404" customFormat="1" ht="13.5" customHeight="1">
      <c r="A90" s="972"/>
      <c r="B90" s="992"/>
      <c r="C90" s="1007"/>
      <c r="D90" s="1003"/>
      <c r="E90" s="974"/>
      <c r="F90" s="974"/>
      <c r="G90" s="992"/>
      <c r="H90" s="403">
        <v>1667898</v>
      </c>
      <c r="I90" s="403">
        <v>117542</v>
      </c>
      <c r="J90" s="989"/>
      <c r="K90" s="989"/>
      <c r="L90" s="985"/>
      <c r="M90" s="985"/>
      <c r="N90" s="989"/>
      <c r="O90" s="989"/>
      <c r="P90" s="985"/>
      <c r="Q90" s="985"/>
      <c r="R90" s="989"/>
      <c r="S90" s="985"/>
      <c r="T90" s="985"/>
      <c r="U90" s="989"/>
      <c r="V90" s="985"/>
      <c r="W90" s="985"/>
    </row>
    <row r="91" spans="1:23" s="404" customFormat="1" ht="13.5" customHeight="1">
      <c r="A91" s="972"/>
      <c r="B91" s="993"/>
      <c r="C91" s="1008"/>
      <c r="D91" s="1004"/>
      <c r="E91" s="975"/>
      <c r="F91" s="975"/>
      <c r="G91" s="993"/>
      <c r="H91" s="403">
        <v>2501846</v>
      </c>
      <c r="I91" s="403">
        <v>176312</v>
      </c>
      <c r="J91" s="990"/>
      <c r="K91" s="990"/>
      <c r="L91" s="986"/>
      <c r="M91" s="986"/>
      <c r="N91" s="990"/>
      <c r="O91" s="990"/>
      <c r="P91" s="986"/>
      <c r="Q91" s="986"/>
      <c r="R91" s="990"/>
      <c r="S91" s="986"/>
      <c r="T91" s="986"/>
      <c r="U91" s="990"/>
      <c r="V91" s="986"/>
      <c r="W91" s="986"/>
    </row>
    <row r="92" spans="1:23" s="404" customFormat="1" ht="13.5" customHeight="1">
      <c r="A92" s="972">
        <v>16</v>
      </c>
      <c r="B92" s="968" t="s">
        <v>437</v>
      </c>
      <c r="C92" s="970" t="s">
        <v>535</v>
      </c>
      <c r="D92" s="1005" t="s">
        <v>536</v>
      </c>
      <c r="E92" s="972" t="s">
        <v>502</v>
      </c>
      <c r="F92" s="972" t="s">
        <v>537</v>
      </c>
      <c r="G92" s="968" t="s">
        <v>538</v>
      </c>
      <c r="H92" s="403">
        <f>H93+H94+H95+H96</f>
        <v>21216000</v>
      </c>
      <c r="I92" s="403">
        <f>I93+I94+I95+I96</f>
        <v>201778</v>
      </c>
      <c r="J92" s="967">
        <f>K92+N92</f>
        <v>5490358</v>
      </c>
      <c r="K92" s="967">
        <f>L92+M92</f>
        <v>5490358</v>
      </c>
      <c r="L92" s="965">
        <v>1548817</v>
      </c>
      <c r="M92" s="965">
        <v>3941541</v>
      </c>
      <c r="N92" s="967">
        <f>O92+R92+U92</f>
        <v>0</v>
      </c>
      <c r="O92" s="967">
        <f>P92+Q92</f>
        <v>0</v>
      </c>
      <c r="P92" s="965">
        <v>0</v>
      </c>
      <c r="Q92" s="965">
        <v>0</v>
      </c>
      <c r="R92" s="967">
        <f>S92+T92</f>
        <v>0</v>
      </c>
      <c r="S92" s="965">
        <v>0</v>
      </c>
      <c r="T92" s="965">
        <v>0</v>
      </c>
      <c r="U92" s="967">
        <f>V92+W92</f>
        <v>0</v>
      </c>
      <c r="V92" s="965">
        <v>0</v>
      </c>
      <c r="W92" s="965">
        <v>0</v>
      </c>
    </row>
    <row r="93" spans="1:23" s="404" customFormat="1" ht="13.5" customHeight="1">
      <c r="A93" s="972"/>
      <c r="B93" s="968"/>
      <c r="C93" s="970"/>
      <c r="D93" s="1005"/>
      <c r="E93" s="972"/>
      <c r="F93" s="972"/>
      <c r="G93" s="968"/>
      <c r="H93" s="403">
        <v>21216000</v>
      </c>
      <c r="I93" s="403">
        <v>201778</v>
      </c>
      <c r="J93" s="967"/>
      <c r="K93" s="967"/>
      <c r="L93" s="965"/>
      <c r="M93" s="965"/>
      <c r="N93" s="967"/>
      <c r="O93" s="967"/>
      <c r="P93" s="965"/>
      <c r="Q93" s="965"/>
      <c r="R93" s="967"/>
      <c r="S93" s="965"/>
      <c r="T93" s="965"/>
      <c r="U93" s="967"/>
      <c r="V93" s="965"/>
      <c r="W93" s="965"/>
    </row>
    <row r="94" spans="1:23" s="404" customFormat="1" ht="13.5" customHeight="1">
      <c r="A94" s="972"/>
      <c r="B94" s="968"/>
      <c r="C94" s="970"/>
      <c r="D94" s="1005"/>
      <c r="E94" s="972"/>
      <c r="F94" s="972"/>
      <c r="G94" s="968"/>
      <c r="H94" s="403">
        <v>0</v>
      </c>
      <c r="I94" s="403">
        <v>0</v>
      </c>
      <c r="J94" s="967"/>
      <c r="K94" s="967"/>
      <c r="L94" s="965"/>
      <c r="M94" s="965"/>
      <c r="N94" s="967"/>
      <c r="O94" s="967"/>
      <c r="P94" s="965"/>
      <c r="Q94" s="965"/>
      <c r="R94" s="967"/>
      <c r="S94" s="965"/>
      <c r="T94" s="965"/>
      <c r="U94" s="967"/>
      <c r="V94" s="965"/>
      <c r="W94" s="965"/>
    </row>
    <row r="95" spans="1:23" s="404" customFormat="1" ht="13.5" customHeight="1">
      <c r="A95" s="972"/>
      <c r="B95" s="968"/>
      <c r="C95" s="970"/>
      <c r="D95" s="1005"/>
      <c r="E95" s="972"/>
      <c r="F95" s="972"/>
      <c r="G95" s="968"/>
      <c r="H95" s="403">
        <v>0</v>
      </c>
      <c r="I95" s="403">
        <v>0</v>
      </c>
      <c r="J95" s="967"/>
      <c r="K95" s="967"/>
      <c r="L95" s="965"/>
      <c r="M95" s="965"/>
      <c r="N95" s="967"/>
      <c r="O95" s="967"/>
      <c r="P95" s="965"/>
      <c r="Q95" s="965"/>
      <c r="R95" s="967"/>
      <c r="S95" s="965"/>
      <c r="T95" s="965"/>
      <c r="U95" s="967"/>
      <c r="V95" s="965"/>
      <c r="W95" s="965"/>
    </row>
    <row r="96" spans="1:23" s="404" customFormat="1" ht="13.5" customHeight="1">
      <c r="A96" s="972"/>
      <c r="B96" s="968"/>
      <c r="C96" s="970"/>
      <c r="D96" s="1005"/>
      <c r="E96" s="972"/>
      <c r="F96" s="972"/>
      <c r="G96" s="968"/>
      <c r="H96" s="403">
        <v>0</v>
      </c>
      <c r="I96" s="403">
        <v>0</v>
      </c>
      <c r="J96" s="967"/>
      <c r="K96" s="967"/>
      <c r="L96" s="965"/>
      <c r="M96" s="965"/>
      <c r="N96" s="967"/>
      <c r="O96" s="967"/>
      <c r="P96" s="965"/>
      <c r="Q96" s="965"/>
      <c r="R96" s="967"/>
      <c r="S96" s="965"/>
      <c r="T96" s="965"/>
      <c r="U96" s="967"/>
      <c r="V96" s="965"/>
      <c r="W96" s="965"/>
    </row>
    <row r="97" spans="1:23" s="404" customFormat="1" ht="13.5" customHeight="1">
      <c r="A97" s="972">
        <v>17</v>
      </c>
      <c r="B97" s="968" t="s">
        <v>539</v>
      </c>
      <c r="C97" s="970" t="s">
        <v>540</v>
      </c>
      <c r="D97" s="1005" t="s">
        <v>541</v>
      </c>
      <c r="E97" s="972" t="s">
        <v>502</v>
      </c>
      <c r="F97" s="972" t="s">
        <v>542</v>
      </c>
      <c r="G97" s="968" t="s">
        <v>543</v>
      </c>
      <c r="H97" s="403">
        <f>H98+H99+H100+H101</f>
        <v>5012114</v>
      </c>
      <c r="I97" s="403">
        <f>I98+I99+I100+I101</f>
        <v>4836433</v>
      </c>
      <c r="J97" s="967">
        <f>K97+N97</f>
        <v>175681</v>
      </c>
      <c r="K97" s="967">
        <f>L97+M97</f>
        <v>149329</v>
      </c>
      <c r="L97" s="965">
        <v>149329</v>
      </c>
      <c r="M97" s="965">
        <v>0</v>
      </c>
      <c r="N97" s="967">
        <f>O97+R97+U97</f>
        <v>26352</v>
      </c>
      <c r="O97" s="967">
        <f>P97+Q97</f>
        <v>0</v>
      </c>
      <c r="P97" s="965">
        <v>0</v>
      </c>
      <c r="Q97" s="965">
        <v>0</v>
      </c>
      <c r="R97" s="967">
        <f>S97+T97</f>
        <v>26352</v>
      </c>
      <c r="S97" s="965">
        <v>26352</v>
      </c>
      <c r="T97" s="965">
        <v>0</v>
      </c>
      <c r="U97" s="967">
        <f>V97+W97</f>
        <v>0</v>
      </c>
      <c r="V97" s="965">
        <v>0</v>
      </c>
      <c r="W97" s="965">
        <v>0</v>
      </c>
    </row>
    <row r="98" spans="1:23" s="404" customFormat="1" ht="13.5" customHeight="1">
      <c r="A98" s="972"/>
      <c r="B98" s="968"/>
      <c r="C98" s="970"/>
      <c r="D98" s="1005"/>
      <c r="E98" s="972"/>
      <c r="F98" s="972"/>
      <c r="G98" s="968"/>
      <c r="H98" s="403">
        <v>4947197</v>
      </c>
      <c r="I98" s="403">
        <v>4797868</v>
      </c>
      <c r="J98" s="967"/>
      <c r="K98" s="967"/>
      <c r="L98" s="965"/>
      <c r="M98" s="965"/>
      <c r="N98" s="967"/>
      <c r="O98" s="967"/>
      <c r="P98" s="965"/>
      <c r="Q98" s="965"/>
      <c r="R98" s="967"/>
      <c r="S98" s="965"/>
      <c r="T98" s="965"/>
      <c r="U98" s="967"/>
      <c r="V98" s="965"/>
      <c r="W98" s="965"/>
    </row>
    <row r="99" spans="1:23" s="404" customFormat="1" ht="13.5" customHeight="1">
      <c r="A99" s="972"/>
      <c r="B99" s="968"/>
      <c r="C99" s="970"/>
      <c r="D99" s="1005"/>
      <c r="E99" s="972"/>
      <c r="F99" s="972"/>
      <c r="G99" s="968"/>
      <c r="H99" s="403">
        <v>0</v>
      </c>
      <c r="I99" s="403">
        <v>0</v>
      </c>
      <c r="J99" s="967"/>
      <c r="K99" s="967"/>
      <c r="L99" s="965"/>
      <c r="M99" s="965"/>
      <c r="N99" s="967"/>
      <c r="O99" s="967"/>
      <c r="P99" s="965"/>
      <c r="Q99" s="965"/>
      <c r="R99" s="967"/>
      <c r="S99" s="965"/>
      <c r="T99" s="965"/>
      <c r="U99" s="967"/>
      <c r="V99" s="965"/>
      <c r="W99" s="965"/>
    </row>
    <row r="100" spans="1:23" s="404" customFormat="1" ht="13.5" customHeight="1">
      <c r="A100" s="972"/>
      <c r="B100" s="968"/>
      <c r="C100" s="970"/>
      <c r="D100" s="1005"/>
      <c r="E100" s="972"/>
      <c r="F100" s="972"/>
      <c r="G100" s="968"/>
      <c r="H100" s="403">
        <v>64917</v>
      </c>
      <c r="I100" s="403">
        <v>38565</v>
      </c>
      <c r="J100" s="967"/>
      <c r="K100" s="967"/>
      <c r="L100" s="965"/>
      <c r="M100" s="965"/>
      <c r="N100" s="967"/>
      <c r="O100" s="967"/>
      <c r="P100" s="965"/>
      <c r="Q100" s="965"/>
      <c r="R100" s="967"/>
      <c r="S100" s="965"/>
      <c r="T100" s="965"/>
      <c r="U100" s="967"/>
      <c r="V100" s="965"/>
      <c r="W100" s="965"/>
    </row>
    <row r="101" spans="1:23" s="404" customFormat="1" ht="13.5" customHeight="1">
      <c r="A101" s="972"/>
      <c r="B101" s="968"/>
      <c r="C101" s="970"/>
      <c r="D101" s="1005"/>
      <c r="E101" s="972"/>
      <c r="F101" s="972"/>
      <c r="G101" s="968"/>
      <c r="H101" s="403">
        <v>0</v>
      </c>
      <c r="I101" s="403">
        <v>0</v>
      </c>
      <c r="J101" s="967"/>
      <c r="K101" s="967"/>
      <c r="L101" s="965"/>
      <c r="M101" s="965"/>
      <c r="N101" s="967"/>
      <c r="O101" s="967"/>
      <c r="P101" s="965"/>
      <c r="Q101" s="965"/>
      <c r="R101" s="967"/>
      <c r="S101" s="965"/>
      <c r="T101" s="965"/>
      <c r="U101" s="967"/>
      <c r="V101" s="965"/>
      <c r="W101" s="965"/>
    </row>
    <row r="102" spans="1:23" s="404" customFormat="1" ht="12.75" customHeight="1">
      <c r="A102" s="972">
        <v>18</v>
      </c>
      <c r="B102" s="968" t="s">
        <v>544</v>
      </c>
      <c r="C102" s="970" t="s">
        <v>545</v>
      </c>
      <c r="D102" s="1005" t="s">
        <v>546</v>
      </c>
      <c r="E102" s="972" t="s">
        <v>547</v>
      </c>
      <c r="F102" s="972" t="s">
        <v>548</v>
      </c>
      <c r="G102" s="968" t="s">
        <v>528</v>
      </c>
      <c r="H102" s="403">
        <f>H103+H104+H105+H106</f>
        <v>1445000</v>
      </c>
      <c r="I102" s="403">
        <f>I103+I104+I105+I106</f>
        <v>1242929</v>
      </c>
      <c r="J102" s="967">
        <f>K102+N102</f>
        <v>130164</v>
      </c>
      <c r="K102" s="967">
        <f>L102+M102</f>
        <v>58119</v>
      </c>
      <c r="L102" s="965">
        <v>58119</v>
      </c>
      <c r="M102" s="965">
        <v>0</v>
      </c>
      <c r="N102" s="967">
        <f>O102+R102+U102</f>
        <v>72045</v>
      </c>
      <c r="O102" s="967">
        <f>P102+Q102</f>
        <v>0</v>
      </c>
      <c r="P102" s="965">
        <v>0</v>
      </c>
      <c r="Q102" s="965">
        <v>0</v>
      </c>
      <c r="R102" s="967">
        <f>S102+T102</f>
        <v>72045</v>
      </c>
      <c r="S102" s="965">
        <v>72045</v>
      </c>
      <c r="T102" s="965">
        <v>0</v>
      </c>
      <c r="U102" s="967">
        <f>V102+W102</f>
        <v>0</v>
      </c>
      <c r="V102" s="965">
        <v>0</v>
      </c>
      <c r="W102" s="965">
        <v>0</v>
      </c>
    </row>
    <row r="103" spans="1:23" s="404" customFormat="1" ht="12.75" customHeight="1">
      <c r="A103" s="972"/>
      <c r="B103" s="968"/>
      <c r="C103" s="970"/>
      <c r="D103" s="1005"/>
      <c r="E103" s="972"/>
      <c r="F103" s="972"/>
      <c r="G103" s="968"/>
      <c r="H103" s="403">
        <v>645277</v>
      </c>
      <c r="I103" s="403">
        <v>554968</v>
      </c>
      <c r="J103" s="967"/>
      <c r="K103" s="967"/>
      <c r="L103" s="965"/>
      <c r="M103" s="965"/>
      <c r="N103" s="967"/>
      <c r="O103" s="967"/>
      <c r="P103" s="965"/>
      <c r="Q103" s="965"/>
      <c r="R103" s="967"/>
      <c r="S103" s="965"/>
      <c r="T103" s="965"/>
      <c r="U103" s="967"/>
      <c r="V103" s="965"/>
      <c r="W103" s="965"/>
    </row>
    <row r="104" spans="1:23" s="404" customFormat="1" ht="12.75" customHeight="1">
      <c r="A104" s="972"/>
      <c r="B104" s="968"/>
      <c r="C104" s="970"/>
      <c r="D104" s="1005"/>
      <c r="E104" s="972"/>
      <c r="F104" s="972"/>
      <c r="G104" s="968"/>
      <c r="H104" s="403">
        <v>0</v>
      </c>
      <c r="I104" s="403">
        <v>0</v>
      </c>
      <c r="J104" s="967"/>
      <c r="K104" s="967"/>
      <c r="L104" s="965"/>
      <c r="M104" s="965"/>
      <c r="N104" s="967"/>
      <c r="O104" s="967"/>
      <c r="P104" s="965"/>
      <c r="Q104" s="965"/>
      <c r="R104" s="967"/>
      <c r="S104" s="965"/>
      <c r="T104" s="965"/>
      <c r="U104" s="967"/>
      <c r="V104" s="965"/>
      <c r="W104" s="965"/>
    </row>
    <row r="105" spans="1:23" s="404" customFormat="1" ht="12.75" customHeight="1">
      <c r="A105" s="972"/>
      <c r="B105" s="968"/>
      <c r="C105" s="970"/>
      <c r="D105" s="1005"/>
      <c r="E105" s="972"/>
      <c r="F105" s="972"/>
      <c r="G105" s="968"/>
      <c r="H105" s="403">
        <v>649723</v>
      </c>
      <c r="I105" s="403">
        <v>537961</v>
      </c>
      <c r="J105" s="967"/>
      <c r="K105" s="967"/>
      <c r="L105" s="965"/>
      <c r="M105" s="965"/>
      <c r="N105" s="967"/>
      <c r="O105" s="967"/>
      <c r="P105" s="965"/>
      <c r="Q105" s="965"/>
      <c r="R105" s="967"/>
      <c r="S105" s="965"/>
      <c r="T105" s="965"/>
      <c r="U105" s="967"/>
      <c r="V105" s="965"/>
      <c r="W105" s="965"/>
    </row>
    <row r="106" spans="1:23" s="404" customFormat="1" ht="12.75" customHeight="1">
      <c r="A106" s="972"/>
      <c r="B106" s="968"/>
      <c r="C106" s="970"/>
      <c r="D106" s="1005"/>
      <c r="E106" s="972"/>
      <c r="F106" s="972"/>
      <c r="G106" s="968"/>
      <c r="H106" s="403">
        <v>150000</v>
      </c>
      <c r="I106" s="403">
        <v>150000</v>
      </c>
      <c r="J106" s="967"/>
      <c r="K106" s="967"/>
      <c r="L106" s="965"/>
      <c r="M106" s="965"/>
      <c r="N106" s="967"/>
      <c r="O106" s="967"/>
      <c r="P106" s="965"/>
      <c r="Q106" s="965"/>
      <c r="R106" s="967"/>
      <c r="S106" s="965"/>
      <c r="T106" s="965"/>
      <c r="U106" s="967"/>
      <c r="V106" s="965"/>
      <c r="W106" s="965"/>
    </row>
    <row r="107" spans="1:23" s="404" customFormat="1" ht="13.5" customHeight="1">
      <c r="A107" s="972">
        <v>19</v>
      </c>
      <c r="B107" s="968" t="s">
        <v>544</v>
      </c>
      <c r="C107" s="970" t="s">
        <v>545</v>
      </c>
      <c r="D107" s="1005" t="s">
        <v>549</v>
      </c>
      <c r="E107" s="972" t="s">
        <v>550</v>
      </c>
      <c r="F107" s="972" t="s">
        <v>548</v>
      </c>
      <c r="G107" s="968" t="s">
        <v>528</v>
      </c>
      <c r="H107" s="403">
        <f>H108+H109+H110+H111</f>
        <v>2500000</v>
      </c>
      <c r="I107" s="403">
        <f>I108+I109+I110+I111</f>
        <v>60000</v>
      </c>
      <c r="J107" s="967">
        <f>K107+N107</f>
        <v>1477060</v>
      </c>
      <c r="K107" s="967">
        <f>L107+M107</f>
        <v>960089</v>
      </c>
      <c r="L107" s="965">
        <v>1599</v>
      </c>
      <c r="M107" s="965">
        <v>958490</v>
      </c>
      <c r="N107" s="967">
        <f>O107+R107+U107</f>
        <v>516971</v>
      </c>
      <c r="O107" s="967">
        <f>P107+Q107</f>
        <v>0</v>
      </c>
      <c r="P107" s="965">
        <v>0</v>
      </c>
      <c r="Q107" s="965">
        <v>0</v>
      </c>
      <c r="R107" s="967">
        <f>S107+T107</f>
        <v>246807</v>
      </c>
      <c r="S107" s="965">
        <v>861</v>
      </c>
      <c r="T107" s="965">
        <v>245946</v>
      </c>
      <c r="U107" s="967">
        <f>V107+W107</f>
        <v>270164</v>
      </c>
      <c r="V107" s="965">
        <v>0</v>
      </c>
      <c r="W107" s="965">
        <v>270164</v>
      </c>
    </row>
    <row r="108" spans="1:23" s="404" customFormat="1" ht="13.5" customHeight="1">
      <c r="A108" s="972"/>
      <c r="B108" s="968"/>
      <c r="C108" s="970"/>
      <c r="D108" s="1005"/>
      <c r="E108" s="972"/>
      <c r="F108" s="972"/>
      <c r="G108" s="968"/>
      <c r="H108" s="403">
        <v>1585308</v>
      </c>
      <c r="I108" s="403">
        <v>39000</v>
      </c>
      <c r="J108" s="967"/>
      <c r="K108" s="967"/>
      <c r="L108" s="965"/>
      <c r="M108" s="965"/>
      <c r="N108" s="967"/>
      <c r="O108" s="967"/>
      <c r="P108" s="965"/>
      <c r="Q108" s="965"/>
      <c r="R108" s="967"/>
      <c r="S108" s="965"/>
      <c r="T108" s="965"/>
      <c r="U108" s="967"/>
      <c r="V108" s="965"/>
      <c r="W108" s="965"/>
    </row>
    <row r="109" spans="1:23" s="404" customFormat="1" ht="13.5" customHeight="1">
      <c r="A109" s="972"/>
      <c r="B109" s="968"/>
      <c r="C109" s="970"/>
      <c r="D109" s="1005"/>
      <c r="E109" s="972"/>
      <c r="F109" s="972"/>
      <c r="G109" s="968"/>
      <c r="H109" s="403">
        <v>0</v>
      </c>
      <c r="I109" s="403">
        <v>0</v>
      </c>
      <c r="J109" s="967"/>
      <c r="K109" s="967"/>
      <c r="L109" s="965"/>
      <c r="M109" s="965"/>
      <c r="N109" s="967"/>
      <c r="O109" s="967"/>
      <c r="P109" s="965"/>
      <c r="Q109" s="965"/>
      <c r="R109" s="967"/>
      <c r="S109" s="965"/>
      <c r="T109" s="965"/>
      <c r="U109" s="967"/>
      <c r="V109" s="965"/>
      <c r="W109" s="965"/>
    </row>
    <row r="110" spans="1:23" s="404" customFormat="1" ht="13.5" customHeight="1">
      <c r="A110" s="972"/>
      <c r="B110" s="968"/>
      <c r="C110" s="970"/>
      <c r="D110" s="1005"/>
      <c r="E110" s="972"/>
      <c r="F110" s="972"/>
      <c r="G110" s="968"/>
      <c r="H110" s="403">
        <v>433734</v>
      </c>
      <c r="I110" s="403">
        <v>21000</v>
      </c>
      <c r="J110" s="967"/>
      <c r="K110" s="967"/>
      <c r="L110" s="965"/>
      <c r="M110" s="965"/>
      <c r="N110" s="967"/>
      <c r="O110" s="967"/>
      <c r="P110" s="965"/>
      <c r="Q110" s="965"/>
      <c r="R110" s="967"/>
      <c r="S110" s="965"/>
      <c r="T110" s="965"/>
      <c r="U110" s="967"/>
      <c r="V110" s="965"/>
      <c r="W110" s="965"/>
    </row>
    <row r="111" spans="1:23" s="404" customFormat="1" ht="13.5" customHeight="1">
      <c r="A111" s="972"/>
      <c r="B111" s="968"/>
      <c r="C111" s="970"/>
      <c r="D111" s="1005"/>
      <c r="E111" s="972"/>
      <c r="F111" s="972"/>
      <c r="G111" s="968"/>
      <c r="H111" s="403">
        <v>480958</v>
      </c>
      <c r="I111" s="403">
        <v>0</v>
      </c>
      <c r="J111" s="967"/>
      <c r="K111" s="967"/>
      <c r="L111" s="965"/>
      <c r="M111" s="965"/>
      <c r="N111" s="967"/>
      <c r="O111" s="967"/>
      <c r="P111" s="965"/>
      <c r="Q111" s="965"/>
      <c r="R111" s="967"/>
      <c r="S111" s="965"/>
      <c r="T111" s="965"/>
      <c r="U111" s="967"/>
      <c r="V111" s="965"/>
      <c r="W111" s="965"/>
    </row>
    <row r="112" spans="1:23" s="404" customFormat="1" ht="14.25" customHeight="1">
      <c r="A112" s="972">
        <v>20</v>
      </c>
      <c r="B112" s="968" t="s">
        <v>544</v>
      </c>
      <c r="C112" s="970" t="s">
        <v>545</v>
      </c>
      <c r="D112" s="1005" t="s">
        <v>551</v>
      </c>
      <c r="E112" s="972" t="s">
        <v>552</v>
      </c>
      <c r="F112" s="972" t="s">
        <v>548</v>
      </c>
      <c r="G112" s="968" t="s">
        <v>528</v>
      </c>
      <c r="H112" s="403">
        <f>H113+H114+H115+H116</f>
        <v>1246316</v>
      </c>
      <c r="I112" s="403">
        <f>I113+I114+I115+I116</f>
        <v>42920</v>
      </c>
      <c r="J112" s="967">
        <f>K112+N112</f>
        <v>861500</v>
      </c>
      <c r="K112" s="967">
        <f>L112+M112</f>
        <v>714873</v>
      </c>
      <c r="L112" s="965">
        <v>42735</v>
      </c>
      <c r="M112" s="965">
        <v>672138</v>
      </c>
      <c r="N112" s="967">
        <f>O112+R112+U112</f>
        <v>146627</v>
      </c>
      <c r="O112" s="967">
        <f>P112+Q112</f>
        <v>0</v>
      </c>
      <c r="P112" s="965">
        <v>0</v>
      </c>
      <c r="Q112" s="965">
        <v>0</v>
      </c>
      <c r="R112" s="967">
        <f>S112+T112</f>
        <v>146627</v>
      </c>
      <c r="S112" s="965">
        <v>8765</v>
      </c>
      <c r="T112" s="965">
        <v>137862</v>
      </c>
      <c r="U112" s="967">
        <f>V112+W112</f>
        <v>0</v>
      </c>
      <c r="V112" s="965">
        <v>0</v>
      </c>
      <c r="W112" s="965">
        <v>0</v>
      </c>
    </row>
    <row r="113" spans="1:23" s="404" customFormat="1" ht="14.25" customHeight="1">
      <c r="A113" s="972"/>
      <c r="B113" s="968"/>
      <c r="C113" s="970"/>
      <c r="D113" s="1005"/>
      <c r="E113" s="972"/>
      <c r="F113" s="972"/>
      <c r="G113" s="968"/>
      <c r="H113" s="403">
        <v>1034193</v>
      </c>
      <c r="I113" s="403">
        <v>35615</v>
      </c>
      <c r="J113" s="967"/>
      <c r="K113" s="967"/>
      <c r="L113" s="965"/>
      <c r="M113" s="965"/>
      <c r="N113" s="967"/>
      <c r="O113" s="967"/>
      <c r="P113" s="965"/>
      <c r="Q113" s="965"/>
      <c r="R113" s="967"/>
      <c r="S113" s="965"/>
      <c r="T113" s="965"/>
      <c r="U113" s="967"/>
      <c r="V113" s="965"/>
      <c r="W113" s="965"/>
    </row>
    <row r="114" spans="1:23" s="404" customFormat="1" ht="14.25" customHeight="1">
      <c r="A114" s="972"/>
      <c r="B114" s="968"/>
      <c r="C114" s="970"/>
      <c r="D114" s="1005"/>
      <c r="E114" s="972"/>
      <c r="F114" s="972"/>
      <c r="G114" s="968"/>
      <c r="H114" s="403">
        <v>0</v>
      </c>
      <c r="I114" s="403">
        <v>0</v>
      </c>
      <c r="J114" s="967"/>
      <c r="K114" s="967"/>
      <c r="L114" s="965"/>
      <c r="M114" s="965"/>
      <c r="N114" s="967"/>
      <c r="O114" s="967"/>
      <c r="P114" s="965"/>
      <c r="Q114" s="965"/>
      <c r="R114" s="967"/>
      <c r="S114" s="965"/>
      <c r="T114" s="965"/>
      <c r="U114" s="967"/>
      <c r="V114" s="965"/>
      <c r="W114" s="965"/>
    </row>
    <row r="115" spans="1:23" s="404" customFormat="1" ht="14.25" customHeight="1">
      <c r="A115" s="972"/>
      <c r="B115" s="968"/>
      <c r="C115" s="970"/>
      <c r="D115" s="1005"/>
      <c r="E115" s="972"/>
      <c r="F115" s="972"/>
      <c r="G115" s="968"/>
      <c r="H115" s="403">
        <v>212123</v>
      </c>
      <c r="I115" s="403">
        <v>7305</v>
      </c>
      <c r="J115" s="967"/>
      <c r="K115" s="967"/>
      <c r="L115" s="965"/>
      <c r="M115" s="965"/>
      <c r="N115" s="967"/>
      <c r="O115" s="967"/>
      <c r="P115" s="965"/>
      <c r="Q115" s="965"/>
      <c r="R115" s="967"/>
      <c r="S115" s="965"/>
      <c r="T115" s="965"/>
      <c r="U115" s="967"/>
      <c r="V115" s="965"/>
      <c r="W115" s="965"/>
    </row>
    <row r="116" spans="1:23" s="404" customFormat="1" ht="14.25" customHeight="1">
      <c r="A116" s="972"/>
      <c r="B116" s="968"/>
      <c r="C116" s="970"/>
      <c r="D116" s="1005"/>
      <c r="E116" s="972"/>
      <c r="F116" s="972"/>
      <c r="G116" s="968"/>
      <c r="H116" s="403">
        <v>0</v>
      </c>
      <c r="I116" s="403">
        <v>0</v>
      </c>
      <c r="J116" s="967"/>
      <c r="K116" s="967"/>
      <c r="L116" s="965"/>
      <c r="M116" s="965"/>
      <c r="N116" s="967"/>
      <c r="O116" s="967"/>
      <c r="P116" s="965"/>
      <c r="Q116" s="965"/>
      <c r="R116" s="967"/>
      <c r="S116" s="965"/>
      <c r="T116" s="965"/>
      <c r="U116" s="967"/>
      <c r="V116" s="965"/>
      <c r="W116" s="965"/>
    </row>
    <row r="117" spans="1:23" s="404" customFormat="1" ht="13.5" customHeight="1">
      <c r="A117" s="972">
        <v>21</v>
      </c>
      <c r="B117" s="968" t="s">
        <v>544</v>
      </c>
      <c r="C117" s="970" t="s">
        <v>545</v>
      </c>
      <c r="D117" s="1005" t="s">
        <v>553</v>
      </c>
      <c r="E117" s="972" t="s">
        <v>554</v>
      </c>
      <c r="F117" s="972" t="s">
        <v>548</v>
      </c>
      <c r="G117" s="968" t="s">
        <v>528</v>
      </c>
      <c r="H117" s="403">
        <f>H118+H119+H120+H121</f>
        <v>925190</v>
      </c>
      <c r="I117" s="403">
        <f>I118+I119+I120+I121</f>
        <v>33016</v>
      </c>
      <c r="J117" s="967">
        <f>K117+N117</f>
        <v>495264</v>
      </c>
      <c r="K117" s="967">
        <f>L117+M117</f>
        <v>420974</v>
      </c>
      <c r="L117" s="965">
        <v>25693</v>
      </c>
      <c r="M117" s="965">
        <v>395281</v>
      </c>
      <c r="N117" s="967">
        <f>O117+R117+U117</f>
        <v>74290</v>
      </c>
      <c r="O117" s="967">
        <f>P117+Q117</f>
        <v>0</v>
      </c>
      <c r="P117" s="965">
        <v>0</v>
      </c>
      <c r="Q117" s="965">
        <v>0</v>
      </c>
      <c r="R117" s="967">
        <f>S117+T117</f>
        <v>74290</v>
      </c>
      <c r="S117" s="965">
        <v>4534</v>
      </c>
      <c r="T117" s="965">
        <v>69756</v>
      </c>
      <c r="U117" s="967">
        <f>V117+W117</f>
        <v>0</v>
      </c>
      <c r="V117" s="965">
        <v>0</v>
      </c>
      <c r="W117" s="965">
        <v>0</v>
      </c>
    </row>
    <row r="118" spans="1:23" s="404" customFormat="1" ht="13.5" customHeight="1">
      <c r="A118" s="972"/>
      <c r="B118" s="968"/>
      <c r="C118" s="970"/>
      <c r="D118" s="1005"/>
      <c r="E118" s="972"/>
      <c r="F118" s="972"/>
      <c r="G118" s="968"/>
      <c r="H118" s="403">
        <v>786411</v>
      </c>
      <c r="I118" s="403">
        <v>28063</v>
      </c>
      <c r="J118" s="967"/>
      <c r="K118" s="967"/>
      <c r="L118" s="965"/>
      <c r="M118" s="965"/>
      <c r="N118" s="967"/>
      <c r="O118" s="967"/>
      <c r="P118" s="965"/>
      <c r="Q118" s="965"/>
      <c r="R118" s="967"/>
      <c r="S118" s="965"/>
      <c r="T118" s="965"/>
      <c r="U118" s="967"/>
      <c r="V118" s="965"/>
      <c r="W118" s="965"/>
    </row>
    <row r="119" spans="1:23" s="404" customFormat="1" ht="13.5" customHeight="1">
      <c r="A119" s="972"/>
      <c r="B119" s="968"/>
      <c r="C119" s="970"/>
      <c r="D119" s="1005"/>
      <c r="E119" s="972"/>
      <c r="F119" s="972"/>
      <c r="G119" s="968"/>
      <c r="H119" s="403">
        <v>0</v>
      </c>
      <c r="I119" s="403">
        <v>0</v>
      </c>
      <c r="J119" s="967"/>
      <c r="K119" s="967"/>
      <c r="L119" s="965"/>
      <c r="M119" s="965"/>
      <c r="N119" s="967"/>
      <c r="O119" s="967"/>
      <c r="P119" s="965"/>
      <c r="Q119" s="965"/>
      <c r="R119" s="967"/>
      <c r="S119" s="965"/>
      <c r="T119" s="965"/>
      <c r="U119" s="967"/>
      <c r="V119" s="965"/>
      <c r="W119" s="965"/>
    </row>
    <row r="120" spans="1:23" s="404" customFormat="1" ht="13.5" customHeight="1">
      <c r="A120" s="972"/>
      <c r="B120" s="968"/>
      <c r="C120" s="970"/>
      <c r="D120" s="1005"/>
      <c r="E120" s="972"/>
      <c r="F120" s="972"/>
      <c r="G120" s="968"/>
      <c r="H120" s="403">
        <v>138779</v>
      </c>
      <c r="I120" s="403">
        <v>4953</v>
      </c>
      <c r="J120" s="967"/>
      <c r="K120" s="967"/>
      <c r="L120" s="965"/>
      <c r="M120" s="965"/>
      <c r="N120" s="967"/>
      <c r="O120" s="967"/>
      <c r="P120" s="965"/>
      <c r="Q120" s="965"/>
      <c r="R120" s="967"/>
      <c r="S120" s="965"/>
      <c r="T120" s="965"/>
      <c r="U120" s="967"/>
      <c r="V120" s="965"/>
      <c r="W120" s="965"/>
    </row>
    <row r="121" spans="1:23" s="404" customFormat="1" ht="13.5" customHeight="1">
      <c r="A121" s="972"/>
      <c r="B121" s="968"/>
      <c r="C121" s="970"/>
      <c r="D121" s="1005"/>
      <c r="E121" s="972"/>
      <c r="F121" s="972"/>
      <c r="G121" s="968"/>
      <c r="H121" s="403">
        <v>0</v>
      </c>
      <c r="I121" s="403">
        <v>0</v>
      </c>
      <c r="J121" s="967"/>
      <c r="K121" s="967"/>
      <c r="L121" s="965"/>
      <c r="M121" s="965"/>
      <c r="N121" s="967"/>
      <c r="O121" s="967"/>
      <c r="P121" s="965"/>
      <c r="Q121" s="965"/>
      <c r="R121" s="967"/>
      <c r="S121" s="965"/>
      <c r="T121" s="965"/>
      <c r="U121" s="967"/>
      <c r="V121" s="965"/>
      <c r="W121" s="965"/>
    </row>
    <row r="122" spans="1:23" s="404" customFormat="1" ht="13.5" customHeight="1">
      <c r="A122" s="972">
        <v>22</v>
      </c>
      <c r="B122" s="968" t="s">
        <v>544</v>
      </c>
      <c r="C122" s="970" t="s">
        <v>545</v>
      </c>
      <c r="D122" s="1005" t="s">
        <v>555</v>
      </c>
      <c r="E122" s="972" t="s">
        <v>554</v>
      </c>
      <c r="F122" s="972" t="s">
        <v>548</v>
      </c>
      <c r="G122" s="968" t="s">
        <v>507</v>
      </c>
      <c r="H122" s="403">
        <f>H123+H124+H125+H126</f>
        <v>4497149</v>
      </c>
      <c r="I122" s="403">
        <f>I123+I124+I125+I126</f>
        <v>65441</v>
      </c>
      <c r="J122" s="967">
        <f>K122+N122</f>
        <v>3141750</v>
      </c>
      <c r="K122" s="967">
        <f>L122+M122</f>
        <v>3016750</v>
      </c>
      <c r="L122" s="965">
        <v>146750</v>
      </c>
      <c r="M122" s="965">
        <v>2870000</v>
      </c>
      <c r="N122" s="967">
        <f>O122+R122+U122</f>
        <v>125000</v>
      </c>
      <c r="O122" s="967">
        <f>P122+Q122</f>
        <v>0</v>
      </c>
      <c r="P122" s="965">
        <v>0</v>
      </c>
      <c r="Q122" s="965">
        <v>0</v>
      </c>
      <c r="R122" s="967">
        <f>S122+T122</f>
        <v>0</v>
      </c>
      <c r="S122" s="965">
        <v>0</v>
      </c>
      <c r="T122" s="965">
        <v>0</v>
      </c>
      <c r="U122" s="967">
        <f>V122+W122</f>
        <v>125000</v>
      </c>
      <c r="V122" s="965">
        <v>0</v>
      </c>
      <c r="W122" s="965">
        <v>125000</v>
      </c>
    </row>
    <row r="123" spans="1:23" s="404" customFormat="1" ht="13.5" customHeight="1">
      <c r="A123" s="972"/>
      <c r="B123" s="968"/>
      <c r="C123" s="970"/>
      <c r="D123" s="1005"/>
      <c r="E123" s="972"/>
      <c r="F123" s="972"/>
      <c r="G123" s="968"/>
      <c r="H123" s="403">
        <v>4246606</v>
      </c>
      <c r="I123" s="403">
        <v>65441</v>
      </c>
      <c r="J123" s="967"/>
      <c r="K123" s="967"/>
      <c r="L123" s="965"/>
      <c r="M123" s="965"/>
      <c r="N123" s="967"/>
      <c r="O123" s="967"/>
      <c r="P123" s="965"/>
      <c r="Q123" s="965"/>
      <c r="R123" s="967"/>
      <c r="S123" s="965"/>
      <c r="T123" s="965"/>
      <c r="U123" s="967"/>
      <c r="V123" s="965"/>
      <c r="W123" s="965"/>
    </row>
    <row r="124" spans="1:23" s="404" customFormat="1" ht="13.5" customHeight="1">
      <c r="A124" s="972"/>
      <c r="B124" s="968"/>
      <c r="C124" s="970"/>
      <c r="D124" s="1005"/>
      <c r="E124" s="972"/>
      <c r="F124" s="972"/>
      <c r="G124" s="968"/>
      <c r="H124" s="403">
        <v>0</v>
      </c>
      <c r="I124" s="403">
        <v>0</v>
      </c>
      <c r="J124" s="967"/>
      <c r="K124" s="967"/>
      <c r="L124" s="965"/>
      <c r="M124" s="965"/>
      <c r="N124" s="967"/>
      <c r="O124" s="967"/>
      <c r="P124" s="965"/>
      <c r="Q124" s="965"/>
      <c r="R124" s="967"/>
      <c r="S124" s="965"/>
      <c r="T124" s="965"/>
      <c r="U124" s="967"/>
      <c r="V124" s="965"/>
      <c r="W124" s="965"/>
    </row>
    <row r="125" spans="1:23" s="404" customFormat="1" ht="13.5" customHeight="1">
      <c r="A125" s="972"/>
      <c r="B125" s="968"/>
      <c r="C125" s="970"/>
      <c r="D125" s="1005"/>
      <c r="E125" s="972"/>
      <c r="F125" s="972"/>
      <c r="G125" s="968"/>
      <c r="H125" s="403">
        <v>0</v>
      </c>
      <c r="I125" s="403">
        <v>0</v>
      </c>
      <c r="J125" s="967"/>
      <c r="K125" s="967"/>
      <c r="L125" s="965"/>
      <c r="M125" s="965"/>
      <c r="N125" s="967"/>
      <c r="O125" s="967"/>
      <c r="P125" s="965"/>
      <c r="Q125" s="965"/>
      <c r="R125" s="967"/>
      <c r="S125" s="965"/>
      <c r="T125" s="965"/>
      <c r="U125" s="967"/>
      <c r="V125" s="965"/>
      <c r="W125" s="965"/>
    </row>
    <row r="126" spans="1:23" s="404" customFormat="1" ht="13.5" customHeight="1">
      <c r="A126" s="972"/>
      <c r="B126" s="968"/>
      <c r="C126" s="970"/>
      <c r="D126" s="1005"/>
      <c r="E126" s="972"/>
      <c r="F126" s="972"/>
      <c r="G126" s="968"/>
      <c r="H126" s="403">
        <v>250543</v>
      </c>
      <c r="I126" s="403">
        <v>0</v>
      </c>
      <c r="J126" s="967"/>
      <c r="K126" s="967"/>
      <c r="L126" s="965"/>
      <c r="M126" s="965"/>
      <c r="N126" s="967"/>
      <c r="O126" s="967"/>
      <c r="P126" s="965"/>
      <c r="Q126" s="965"/>
      <c r="R126" s="967"/>
      <c r="S126" s="965"/>
      <c r="T126" s="965"/>
      <c r="U126" s="967"/>
      <c r="V126" s="965"/>
      <c r="W126" s="965"/>
    </row>
    <row r="127" spans="1:23" s="404" customFormat="1" ht="14.25" customHeight="1">
      <c r="A127" s="972">
        <v>23</v>
      </c>
      <c r="B127" s="969" t="s">
        <v>440</v>
      </c>
      <c r="C127" s="970" t="s">
        <v>556</v>
      </c>
      <c r="D127" s="971" t="s">
        <v>557</v>
      </c>
      <c r="E127" s="972" t="s">
        <v>522</v>
      </c>
      <c r="F127" s="972" t="s">
        <v>523</v>
      </c>
      <c r="G127" s="972" t="s">
        <v>518</v>
      </c>
      <c r="H127" s="403">
        <f>H129+H128+H130+H131</f>
        <v>50833492</v>
      </c>
      <c r="I127" s="403">
        <f>I129+I128+I130+I131</f>
        <v>22157920</v>
      </c>
      <c r="J127" s="967">
        <f>K127+N127</f>
        <v>22834346</v>
      </c>
      <c r="K127" s="967">
        <f>L127+M127</f>
        <v>20867414</v>
      </c>
      <c r="L127" s="965">
        <v>11951</v>
      </c>
      <c r="M127" s="965">
        <v>20855463</v>
      </c>
      <c r="N127" s="967">
        <f>O127+R127+U127</f>
        <v>1966932</v>
      </c>
      <c r="O127" s="967">
        <f>P127+Q127</f>
        <v>0</v>
      </c>
      <c r="P127" s="965">
        <v>0</v>
      </c>
      <c r="Q127" s="965">
        <v>0</v>
      </c>
      <c r="R127" s="967">
        <f>S127+T127</f>
        <v>910932</v>
      </c>
      <c r="S127" s="965">
        <v>2112</v>
      </c>
      <c r="T127" s="965">
        <v>908820</v>
      </c>
      <c r="U127" s="967">
        <f>V127+W127</f>
        <v>1056000</v>
      </c>
      <c r="V127" s="965">
        <v>0</v>
      </c>
      <c r="W127" s="965">
        <v>1056000</v>
      </c>
    </row>
    <row r="128" spans="1:23" s="404" customFormat="1" ht="14.25" customHeight="1">
      <c r="A128" s="972"/>
      <c r="B128" s="969"/>
      <c r="C128" s="970"/>
      <c r="D128" s="971"/>
      <c r="E128" s="972"/>
      <c r="F128" s="972"/>
      <c r="G128" s="972"/>
      <c r="H128" s="403">
        <v>43208468</v>
      </c>
      <c r="I128" s="403">
        <v>16499828</v>
      </c>
      <c r="J128" s="967"/>
      <c r="K128" s="967"/>
      <c r="L128" s="965"/>
      <c r="M128" s="965"/>
      <c r="N128" s="967"/>
      <c r="O128" s="967"/>
      <c r="P128" s="965"/>
      <c r="Q128" s="965"/>
      <c r="R128" s="967"/>
      <c r="S128" s="965"/>
      <c r="T128" s="965"/>
      <c r="U128" s="967"/>
      <c r="V128" s="965"/>
      <c r="W128" s="965"/>
    </row>
    <row r="129" spans="1:23" s="404" customFormat="1" ht="14.25" customHeight="1">
      <c r="A129" s="972"/>
      <c r="B129" s="969"/>
      <c r="C129" s="970"/>
      <c r="D129" s="971"/>
      <c r="E129" s="972"/>
      <c r="F129" s="972"/>
      <c r="G129" s="972"/>
      <c r="H129" s="403">
        <v>0</v>
      </c>
      <c r="I129" s="403">
        <v>0</v>
      </c>
      <c r="J129" s="967"/>
      <c r="K129" s="967"/>
      <c r="L129" s="965"/>
      <c r="M129" s="965"/>
      <c r="N129" s="967"/>
      <c r="O129" s="967"/>
      <c r="P129" s="965"/>
      <c r="Q129" s="965"/>
      <c r="R129" s="967"/>
      <c r="S129" s="965"/>
      <c r="T129" s="965"/>
      <c r="U129" s="967"/>
      <c r="V129" s="965"/>
      <c r="W129" s="965"/>
    </row>
    <row r="130" spans="1:23" s="404" customFormat="1" ht="14.25" customHeight="1">
      <c r="A130" s="972"/>
      <c r="B130" s="969"/>
      <c r="C130" s="970"/>
      <c r="D130" s="971"/>
      <c r="E130" s="972"/>
      <c r="F130" s="972"/>
      <c r="G130" s="972"/>
      <c r="H130" s="403">
        <v>6394304</v>
      </c>
      <c r="I130" s="405">
        <v>5483372</v>
      </c>
      <c r="J130" s="967"/>
      <c r="K130" s="967"/>
      <c r="L130" s="965"/>
      <c r="M130" s="965"/>
      <c r="N130" s="967"/>
      <c r="O130" s="967"/>
      <c r="P130" s="965"/>
      <c r="Q130" s="965"/>
      <c r="R130" s="967"/>
      <c r="S130" s="965"/>
      <c r="T130" s="965"/>
      <c r="U130" s="967"/>
      <c r="V130" s="965"/>
      <c r="W130" s="965"/>
    </row>
    <row r="131" spans="1:23" s="404" customFormat="1" ht="14.25" customHeight="1">
      <c r="A131" s="972"/>
      <c r="B131" s="969"/>
      <c r="C131" s="970"/>
      <c r="D131" s="971"/>
      <c r="E131" s="972"/>
      <c r="F131" s="972"/>
      <c r="G131" s="972"/>
      <c r="H131" s="403">
        <v>1230720</v>
      </c>
      <c r="I131" s="403">
        <v>174720</v>
      </c>
      <c r="J131" s="967"/>
      <c r="K131" s="967"/>
      <c r="L131" s="965"/>
      <c r="M131" s="965"/>
      <c r="N131" s="967"/>
      <c r="O131" s="967"/>
      <c r="P131" s="965"/>
      <c r="Q131" s="965"/>
      <c r="R131" s="967"/>
      <c r="S131" s="965"/>
      <c r="T131" s="965"/>
      <c r="U131" s="967"/>
      <c r="V131" s="965"/>
      <c r="W131" s="965"/>
    </row>
    <row r="132" spans="1:23" s="404" customFormat="1" ht="14.25" customHeight="1">
      <c r="A132" s="972">
        <v>24</v>
      </c>
      <c r="B132" s="969" t="s">
        <v>440</v>
      </c>
      <c r="C132" s="970" t="s">
        <v>556</v>
      </c>
      <c r="D132" s="971" t="s">
        <v>558</v>
      </c>
      <c r="E132" s="972" t="s">
        <v>522</v>
      </c>
      <c r="F132" s="972" t="s">
        <v>523</v>
      </c>
      <c r="G132" s="972" t="s">
        <v>518</v>
      </c>
      <c r="H132" s="403">
        <f>H134+H133+H135+H136</f>
        <v>93531514</v>
      </c>
      <c r="I132" s="403">
        <f>I134+I133+I135+I136</f>
        <v>24998609</v>
      </c>
      <c r="J132" s="967">
        <f>K132+N132</f>
        <v>58729654</v>
      </c>
      <c r="K132" s="967">
        <f>L132+M132</f>
        <v>51123447</v>
      </c>
      <c r="L132" s="965">
        <v>144549</v>
      </c>
      <c r="M132" s="965">
        <v>50978898</v>
      </c>
      <c r="N132" s="967">
        <f>O132+R132+U132</f>
        <v>7606207</v>
      </c>
      <c r="O132" s="967">
        <f>P132+Q132</f>
        <v>0</v>
      </c>
      <c r="P132" s="965">
        <v>0</v>
      </c>
      <c r="Q132" s="965">
        <v>0</v>
      </c>
      <c r="R132" s="967">
        <f>S132+T132</f>
        <v>3234751</v>
      </c>
      <c r="S132" s="965">
        <v>25507</v>
      </c>
      <c r="T132" s="965">
        <v>3209244</v>
      </c>
      <c r="U132" s="967">
        <f>V132+W132</f>
        <v>4371456</v>
      </c>
      <c r="V132" s="965">
        <v>0</v>
      </c>
      <c r="W132" s="965">
        <v>4371456</v>
      </c>
    </row>
    <row r="133" spans="1:23" s="404" customFormat="1" ht="14.25" customHeight="1">
      <c r="A133" s="972"/>
      <c r="B133" s="969"/>
      <c r="C133" s="970"/>
      <c r="D133" s="971"/>
      <c r="E133" s="972"/>
      <c r="F133" s="972"/>
      <c r="G133" s="972"/>
      <c r="H133" s="403">
        <v>79501787</v>
      </c>
      <c r="I133" s="403">
        <v>18575089</v>
      </c>
      <c r="J133" s="967"/>
      <c r="K133" s="967"/>
      <c r="L133" s="965"/>
      <c r="M133" s="965"/>
      <c r="N133" s="967"/>
      <c r="O133" s="967"/>
      <c r="P133" s="965"/>
      <c r="Q133" s="965"/>
      <c r="R133" s="967"/>
      <c r="S133" s="965"/>
      <c r="T133" s="965"/>
      <c r="U133" s="967"/>
      <c r="V133" s="965"/>
      <c r="W133" s="965"/>
    </row>
    <row r="134" spans="1:23" s="404" customFormat="1" ht="14.25" customHeight="1">
      <c r="A134" s="972"/>
      <c r="B134" s="969"/>
      <c r="C134" s="970"/>
      <c r="D134" s="971"/>
      <c r="E134" s="972"/>
      <c r="F134" s="972"/>
      <c r="G134" s="972"/>
      <c r="H134" s="403">
        <v>0</v>
      </c>
      <c r="I134" s="403">
        <v>0</v>
      </c>
      <c r="J134" s="967"/>
      <c r="K134" s="967"/>
      <c r="L134" s="965"/>
      <c r="M134" s="965"/>
      <c r="N134" s="967"/>
      <c r="O134" s="967"/>
      <c r="P134" s="965"/>
      <c r="Q134" s="965"/>
      <c r="R134" s="967"/>
      <c r="S134" s="965"/>
      <c r="T134" s="965"/>
      <c r="U134" s="967"/>
      <c r="V134" s="965"/>
      <c r="W134" s="965"/>
    </row>
    <row r="135" spans="1:23" s="404" customFormat="1" ht="14.25" customHeight="1">
      <c r="A135" s="972"/>
      <c r="B135" s="969"/>
      <c r="C135" s="970"/>
      <c r="D135" s="971"/>
      <c r="E135" s="972"/>
      <c r="F135" s="972"/>
      <c r="G135" s="972"/>
      <c r="H135" s="403">
        <v>9658271</v>
      </c>
      <c r="I135" s="403">
        <v>6423520</v>
      </c>
      <c r="J135" s="967"/>
      <c r="K135" s="967"/>
      <c r="L135" s="965"/>
      <c r="M135" s="965"/>
      <c r="N135" s="967"/>
      <c r="O135" s="967"/>
      <c r="P135" s="965"/>
      <c r="Q135" s="965"/>
      <c r="R135" s="967"/>
      <c r="S135" s="965"/>
      <c r="T135" s="965"/>
      <c r="U135" s="967"/>
      <c r="V135" s="965"/>
      <c r="W135" s="965"/>
    </row>
    <row r="136" spans="1:23" s="404" customFormat="1" ht="14.25" customHeight="1">
      <c r="A136" s="972"/>
      <c r="B136" s="969"/>
      <c r="C136" s="970"/>
      <c r="D136" s="971"/>
      <c r="E136" s="972"/>
      <c r="F136" s="972"/>
      <c r="G136" s="972"/>
      <c r="H136" s="403">
        <v>4371456</v>
      </c>
      <c r="I136" s="403">
        <v>0</v>
      </c>
      <c r="J136" s="967"/>
      <c r="K136" s="967"/>
      <c r="L136" s="965"/>
      <c r="M136" s="965"/>
      <c r="N136" s="967"/>
      <c r="O136" s="967"/>
      <c r="P136" s="965"/>
      <c r="Q136" s="965"/>
      <c r="R136" s="967"/>
      <c r="S136" s="965"/>
      <c r="T136" s="965"/>
      <c r="U136" s="967"/>
      <c r="V136" s="965"/>
      <c r="W136" s="965"/>
    </row>
    <row r="137" spans="1:23" s="404" customFormat="1" ht="12.75" customHeight="1">
      <c r="A137" s="972">
        <v>25</v>
      </c>
      <c r="B137" s="969" t="s">
        <v>440</v>
      </c>
      <c r="C137" s="970" t="s">
        <v>556</v>
      </c>
      <c r="D137" s="971" t="s">
        <v>559</v>
      </c>
      <c r="E137" s="972" t="s">
        <v>522</v>
      </c>
      <c r="F137" s="972" t="s">
        <v>523</v>
      </c>
      <c r="G137" s="972" t="s">
        <v>560</v>
      </c>
      <c r="H137" s="403">
        <f>H139+H138+H140+H141</f>
        <v>66415462</v>
      </c>
      <c r="I137" s="403">
        <f>I139+I138+I140+I141</f>
        <v>25182162</v>
      </c>
      <c r="J137" s="967">
        <f>K137+N137</f>
        <v>41233300</v>
      </c>
      <c r="K137" s="967">
        <f>L137+M137</f>
        <v>40161868</v>
      </c>
      <c r="L137" s="965">
        <v>11283</v>
      </c>
      <c r="M137" s="965">
        <v>40150585</v>
      </c>
      <c r="N137" s="967">
        <f>O137+R137+U137</f>
        <v>1071432</v>
      </c>
      <c r="O137" s="967">
        <f>P137+Q137</f>
        <v>0</v>
      </c>
      <c r="P137" s="965">
        <v>0</v>
      </c>
      <c r="Q137" s="965">
        <v>0</v>
      </c>
      <c r="R137" s="967">
        <f>S137+T137</f>
        <v>1992</v>
      </c>
      <c r="S137" s="965">
        <v>1992</v>
      </c>
      <c r="T137" s="965">
        <v>0</v>
      </c>
      <c r="U137" s="967">
        <f>V137+W137</f>
        <v>1069440</v>
      </c>
      <c r="V137" s="965">
        <v>0</v>
      </c>
      <c r="W137" s="965">
        <v>1069440</v>
      </c>
    </row>
    <row r="138" spans="1:23" s="404" customFormat="1" ht="12.75" customHeight="1">
      <c r="A138" s="972"/>
      <c r="B138" s="969"/>
      <c r="C138" s="970"/>
      <c r="D138" s="971"/>
      <c r="E138" s="972"/>
      <c r="F138" s="972"/>
      <c r="G138" s="972"/>
      <c r="H138" s="403">
        <v>56453143</v>
      </c>
      <c r="I138" s="403">
        <v>16291275</v>
      </c>
      <c r="J138" s="967"/>
      <c r="K138" s="967"/>
      <c r="L138" s="965"/>
      <c r="M138" s="965"/>
      <c r="N138" s="967"/>
      <c r="O138" s="967"/>
      <c r="P138" s="965"/>
      <c r="Q138" s="965"/>
      <c r="R138" s="967"/>
      <c r="S138" s="965"/>
      <c r="T138" s="965"/>
      <c r="U138" s="967"/>
      <c r="V138" s="965"/>
      <c r="W138" s="965"/>
    </row>
    <row r="139" spans="1:23" s="404" customFormat="1" ht="12.75" customHeight="1">
      <c r="A139" s="972"/>
      <c r="B139" s="969"/>
      <c r="C139" s="970"/>
      <c r="D139" s="971"/>
      <c r="E139" s="972"/>
      <c r="F139" s="972"/>
      <c r="G139" s="972"/>
      <c r="H139" s="403">
        <v>0</v>
      </c>
      <c r="I139" s="403">
        <v>0</v>
      </c>
      <c r="J139" s="967"/>
      <c r="K139" s="967"/>
      <c r="L139" s="965"/>
      <c r="M139" s="965"/>
      <c r="N139" s="967"/>
      <c r="O139" s="967"/>
      <c r="P139" s="965"/>
      <c r="Q139" s="965"/>
      <c r="R139" s="967"/>
      <c r="S139" s="965"/>
      <c r="T139" s="965"/>
      <c r="U139" s="967"/>
      <c r="V139" s="965"/>
      <c r="W139" s="965"/>
    </row>
    <row r="140" spans="1:23" s="404" customFormat="1" ht="12.75" customHeight="1">
      <c r="A140" s="972"/>
      <c r="B140" s="969"/>
      <c r="C140" s="970"/>
      <c r="D140" s="971"/>
      <c r="E140" s="972"/>
      <c r="F140" s="972"/>
      <c r="G140" s="972"/>
      <c r="H140" s="403">
        <v>8181075</v>
      </c>
      <c r="I140" s="403">
        <v>8179083</v>
      </c>
      <c r="J140" s="967"/>
      <c r="K140" s="967"/>
      <c r="L140" s="965"/>
      <c r="M140" s="965"/>
      <c r="N140" s="967"/>
      <c r="O140" s="967"/>
      <c r="P140" s="965"/>
      <c r="Q140" s="965"/>
      <c r="R140" s="967"/>
      <c r="S140" s="965"/>
      <c r="T140" s="965"/>
      <c r="U140" s="967"/>
      <c r="V140" s="965"/>
      <c r="W140" s="965"/>
    </row>
    <row r="141" spans="1:23" s="404" customFormat="1" ht="12.75" customHeight="1">
      <c r="A141" s="972"/>
      <c r="B141" s="969"/>
      <c r="C141" s="970"/>
      <c r="D141" s="971"/>
      <c r="E141" s="972"/>
      <c r="F141" s="972"/>
      <c r="G141" s="972"/>
      <c r="H141" s="403">
        <v>1781244</v>
      </c>
      <c r="I141" s="403">
        <v>711804</v>
      </c>
      <c r="J141" s="967"/>
      <c r="K141" s="967"/>
      <c r="L141" s="965"/>
      <c r="M141" s="965"/>
      <c r="N141" s="967"/>
      <c r="O141" s="967"/>
      <c r="P141" s="965"/>
      <c r="Q141" s="965"/>
      <c r="R141" s="967"/>
      <c r="S141" s="965"/>
      <c r="T141" s="965"/>
      <c r="U141" s="967"/>
      <c r="V141" s="965"/>
      <c r="W141" s="965"/>
    </row>
    <row r="142" spans="1:23" s="404" customFormat="1" ht="13.5" customHeight="1">
      <c r="A142" s="972">
        <v>26</v>
      </c>
      <c r="B142" s="968" t="s">
        <v>440</v>
      </c>
      <c r="C142" s="970" t="s">
        <v>556</v>
      </c>
      <c r="D142" s="1005" t="s">
        <v>561</v>
      </c>
      <c r="E142" s="972" t="s">
        <v>522</v>
      </c>
      <c r="F142" s="972" t="s">
        <v>523</v>
      </c>
      <c r="G142" s="968" t="s">
        <v>518</v>
      </c>
      <c r="H142" s="403">
        <f>H143+H144+H145+H146</f>
        <v>62535537</v>
      </c>
      <c r="I142" s="403">
        <f>I143+I144+I145+I146</f>
        <v>26221588</v>
      </c>
      <c r="J142" s="967">
        <f>K142+N142</f>
        <v>24946118</v>
      </c>
      <c r="K142" s="967">
        <f>L142+M142</f>
        <v>23177735</v>
      </c>
      <c r="L142" s="965">
        <v>18188</v>
      </c>
      <c r="M142" s="965">
        <v>23159547</v>
      </c>
      <c r="N142" s="967">
        <f>O142+R142+U142</f>
        <v>1768383</v>
      </c>
      <c r="O142" s="967">
        <f>P142+Q142</f>
        <v>0</v>
      </c>
      <c r="P142" s="965">
        <v>0</v>
      </c>
      <c r="Q142" s="965">
        <v>0</v>
      </c>
      <c r="R142" s="967">
        <f>S142+T142</f>
        <v>1768383</v>
      </c>
      <c r="S142" s="965">
        <v>3209</v>
      </c>
      <c r="T142" s="965">
        <v>1765174</v>
      </c>
      <c r="U142" s="967">
        <f>V142+W142</f>
        <v>0</v>
      </c>
      <c r="V142" s="965">
        <v>0</v>
      </c>
      <c r="W142" s="965">
        <v>0</v>
      </c>
    </row>
    <row r="143" spans="1:23" s="404" customFormat="1" ht="13.5" customHeight="1">
      <c r="A143" s="972"/>
      <c r="B143" s="968"/>
      <c r="C143" s="970"/>
      <c r="D143" s="1005"/>
      <c r="E143" s="972"/>
      <c r="F143" s="972"/>
      <c r="G143" s="968"/>
      <c r="H143" s="403">
        <v>53155206</v>
      </c>
      <c r="I143" s="403">
        <v>18609640</v>
      </c>
      <c r="J143" s="967"/>
      <c r="K143" s="967"/>
      <c r="L143" s="965"/>
      <c r="M143" s="965"/>
      <c r="N143" s="967"/>
      <c r="O143" s="967"/>
      <c r="P143" s="965"/>
      <c r="Q143" s="965"/>
      <c r="R143" s="967"/>
      <c r="S143" s="965"/>
      <c r="T143" s="965"/>
      <c r="U143" s="967"/>
      <c r="V143" s="965"/>
      <c r="W143" s="965"/>
    </row>
    <row r="144" spans="1:23" s="404" customFormat="1" ht="13.5" customHeight="1">
      <c r="A144" s="972"/>
      <c r="B144" s="968"/>
      <c r="C144" s="970"/>
      <c r="D144" s="1005"/>
      <c r="E144" s="972"/>
      <c r="F144" s="972"/>
      <c r="G144" s="968"/>
      <c r="H144" s="403">
        <v>0</v>
      </c>
      <c r="I144" s="403">
        <v>0</v>
      </c>
      <c r="J144" s="967"/>
      <c r="K144" s="967"/>
      <c r="L144" s="965"/>
      <c r="M144" s="965"/>
      <c r="N144" s="967"/>
      <c r="O144" s="967"/>
      <c r="P144" s="965"/>
      <c r="Q144" s="965"/>
      <c r="R144" s="967"/>
      <c r="S144" s="965"/>
      <c r="T144" s="965"/>
      <c r="U144" s="967"/>
      <c r="V144" s="965"/>
      <c r="W144" s="965"/>
    </row>
    <row r="145" spans="1:23" s="404" customFormat="1" ht="13.5" customHeight="1">
      <c r="A145" s="972"/>
      <c r="B145" s="968"/>
      <c r="C145" s="970"/>
      <c r="D145" s="1005"/>
      <c r="E145" s="972"/>
      <c r="F145" s="972"/>
      <c r="G145" s="968"/>
      <c r="H145" s="403">
        <v>9380331</v>
      </c>
      <c r="I145" s="403">
        <v>7611948</v>
      </c>
      <c r="J145" s="967"/>
      <c r="K145" s="967"/>
      <c r="L145" s="965"/>
      <c r="M145" s="965"/>
      <c r="N145" s="967"/>
      <c r="O145" s="967"/>
      <c r="P145" s="965"/>
      <c r="Q145" s="965"/>
      <c r="R145" s="967"/>
      <c r="S145" s="965"/>
      <c r="T145" s="965"/>
      <c r="U145" s="967"/>
      <c r="V145" s="965"/>
      <c r="W145" s="965"/>
    </row>
    <row r="146" spans="1:23" s="404" customFormat="1" ht="13.5" customHeight="1">
      <c r="A146" s="972"/>
      <c r="B146" s="968"/>
      <c r="C146" s="970"/>
      <c r="D146" s="1005"/>
      <c r="E146" s="972"/>
      <c r="F146" s="972"/>
      <c r="G146" s="968"/>
      <c r="H146" s="403">
        <v>0</v>
      </c>
      <c r="I146" s="403">
        <v>0</v>
      </c>
      <c r="J146" s="967"/>
      <c r="K146" s="967"/>
      <c r="L146" s="965"/>
      <c r="M146" s="965"/>
      <c r="N146" s="967"/>
      <c r="O146" s="967"/>
      <c r="P146" s="965"/>
      <c r="Q146" s="965"/>
      <c r="R146" s="967"/>
      <c r="S146" s="965"/>
      <c r="T146" s="965"/>
      <c r="U146" s="967"/>
      <c r="V146" s="965"/>
      <c r="W146" s="965"/>
    </row>
    <row r="147" spans="1:23" s="404" customFormat="1" ht="15" customHeight="1">
      <c r="A147" s="972">
        <v>27</v>
      </c>
      <c r="B147" s="968" t="s">
        <v>440</v>
      </c>
      <c r="C147" s="970" t="s">
        <v>556</v>
      </c>
      <c r="D147" s="1005" t="s">
        <v>562</v>
      </c>
      <c r="E147" s="972" t="s">
        <v>522</v>
      </c>
      <c r="F147" s="972" t="s">
        <v>523</v>
      </c>
      <c r="G147" s="968" t="s">
        <v>560</v>
      </c>
      <c r="H147" s="403">
        <f>H148+H149+H150+H151</f>
        <v>75471634</v>
      </c>
      <c r="I147" s="403">
        <f>I148+I149+I150+I151</f>
        <v>40492810</v>
      </c>
      <c r="J147" s="967">
        <f>K147+N147</f>
        <v>34978824</v>
      </c>
      <c r="K147" s="967">
        <f>L147+M147</f>
        <v>24179256</v>
      </c>
      <c r="L147" s="965">
        <v>10570</v>
      </c>
      <c r="M147" s="965">
        <v>24168686</v>
      </c>
      <c r="N147" s="967">
        <f>O147+R147+U147</f>
        <v>10799568</v>
      </c>
      <c r="O147" s="967">
        <f>P147+Q147</f>
        <v>0</v>
      </c>
      <c r="P147" s="965">
        <v>0</v>
      </c>
      <c r="Q147" s="965">
        <v>0</v>
      </c>
      <c r="R147" s="967">
        <f>S147+T147</f>
        <v>9291024</v>
      </c>
      <c r="S147" s="965">
        <v>1865</v>
      </c>
      <c r="T147" s="965">
        <v>9289159</v>
      </c>
      <c r="U147" s="967">
        <f>V147+W147</f>
        <v>1508544</v>
      </c>
      <c r="V147" s="965">
        <v>0</v>
      </c>
      <c r="W147" s="965">
        <v>1508544</v>
      </c>
    </row>
    <row r="148" spans="1:23" s="404" customFormat="1" ht="15" customHeight="1">
      <c r="A148" s="972"/>
      <c r="B148" s="968"/>
      <c r="C148" s="970"/>
      <c r="D148" s="1005"/>
      <c r="E148" s="972"/>
      <c r="F148" s="972"/>
      <c r="G148" s="968"/>
      <c r="H148" s="403">
        <v>52354731</v>
      </c>
      <c r="I148" s="403">
        <v>28175475</v>
      </c>
      <c r="J148" s="967"/>
      <c r="K148" s="967"/>
      <c r="L148" s="965"/>
      <c r="M148" s="965"/>
      <c r="N148" s="967"/>
      <c r="O148" s="967"/>
      <c r="P148" s="965"/>
      <c r="Q148" s="965"/>
      <c r="R148" s="967"/>
      <c r="S148" s="965"/>
      <c r="T148" s="965"/>
      <c r="U148" s="967"/>
      <c r="V148" s="965"/>
      <c r="W148" s="965"/>
    </row>
    <row r="149" spans="1:23" s="404" customFormat="1" ht="15" customHeight="1">
      <c r="A149" s="972"/>
      <c r="B149" s="968"/>
      <c r="C149" s="970"/>
      <c r="D149" s="1005"/>
      <c r="E149" s="972"/>
      <c r="F149" s="972"/>
      <c r="G149" s="968"/>
      <c r="H149" s="403">
        <v>0</v>
      </c>
      <c r="I149" s="403">
        <v>0</v>
      </c>
      <c r="J149" s="967"/>
      <c r="K149" s="967"/>
      <c r="L149" s="965"/>
      <c r="M149" s="965"/>
      <c r="N149" s="967"/>
      <c r="O149" s="967"/>
      <c r="P149" s="965"/>
      <c r="Q149" s="965"/>
      <c r="R149" s="967"/>
      <c r="S149" s="965"/>
      <c r="T149" s="965"/>
      <c r="U149" s="967"/>
      <c r="V149" s="965"/>
      <c r="W149" s="965"/>
    </row>
    <row r="150" spans="1:23" s="404" customFormat="1" ht="15" customHeight="1">
      <c r="A150" s="972"/>
      <c r="B150" s="968"/>
      <c r="C150" s="970"/>
      <c r="D150" s="1005"/>
      <c r="E150" s="972"/>
      <c r="F150" s="972"/>
      <c r="G150" s="968"/>
      <c r="H150" s="403">
        <v>20552359</v>
      </c>
      <c r="I150" s="403">
        <v>11261335</v>
      </c>
      <c r="J150" s="967"/>
      <c r="K150" s="967"/>
      <c r="L150" s="965"/>
      <c r="M150" s="965"/>
      <c r="N150" s="967"/>
      <c r="O150" s="967"/>
      <c r="P150" s="965"/>
      <c r="Q150" s="965"/>
      <c r="R150" s="967"/>
      <c r="S150" s="965"/>
      <c r="T150" s="965"/>
      <c r="U150" s="967"/>
      <c r="V150" s="965"/>
      <c r="W150" s="965"/>
    </row>
    <row r="151" spans="1:23" s="404" customFormat="1" ht="15" customHeight="1">
      <c r="A151" s="972"/>
      <c r="B151" s="968"/>
      <c r="C151" s="970"/>
      <c r="D151" s="1005"/>
      <c r="E151" s="972"/>
      <c r="F151" s="972"/>
      <c r="G151" s="968"/>
      <c r="H151" s="403">
        <v>2564544</v>
      </c>
      <c r="I151" s="403">
        <v>1056000</v>
      </c>
      <c r="J151" s="967"/>
      <c r="K151" s="967"/>
      <c r="L151" s="965"/>
      <c r="M151" s="965"/>
      <c r="N151" s="967"/>
      <c r="O151" s="967"/>
      <c r="P151" s="965"/>
      <c r="Q151" s="965"/>
      <c r="R151" s="967"/>
      <c r="S151" s="965"/>
      <c r="T151" s="965"/>
      <c r="U151" s="967"/>
      <c r="V151" s="965"/>
      <c r="W151" s="965"/>
    </row>
    <row r="152" spans="1:23" s="404" customFormat="1" ht="15" customHeight="1">
      <c r="A152" s="972">
        <v>28</v>
      </c>
      <c r="B152" s="968" t="s">
        <v>440</v>
      </c>
      <c r="C152" s="970" t="s">
        <v>556</v>
      </c>
      <c r="D152" s="1005" t="s">
        <v>563</v>
      </c>
      <c r="E152" s="972" t="s">
        <v>522</v>
      </c>
      <c r="F152" s="972" t="s">
        <v>523</v>
      </c>
      <c r="G152" s="968" t="s">
        <v>560</v>
      </c>
      <c r="H152" s="403">
        <f>H153+H154+H155+H156</f>
        <v>17405259</v>
      </c>
      <c r="I152" s="403">
        <f>I153+I154+I155+I156</f>
        <v>1185908</v>
      </c>
      <c r="J152" s="967">
        <f>K152+N152</f>
        <v>16219351</v>
      </c>
      <c r="K152" s="967">
        <f>L152+M152</f>
        <v>14694521</v>
      </c>
      <c r="L152" s="965">
        <v>49979</v>
      </c>
      <c r="M152" s="965">
        <v>14644542</v>
      </c>
      <c r="N152" s="967">
        <f>O152+R152+U152</f>
        <v>1524830</v>
      </c>
      <c r="O152" s="967">
        <f>P152+Q152</f>
        <v>0</v>
      </c>
      <c r="P152" s="965">
        <v>0</v>
      </c>
      <c r="Q152" s="965">
        <v>0</v>
      </c>
      <c r="R152" s="967">
        <f>S152+T152</f>
        <v>1524830</v>
      </c>
      <c r="S152" s="965">
        <v>8817</v>
      </c>
      <c r="T152" s="965">
        <v>1516013</v>
      </c>
      <c r="U152" s="967">
        <f>V152+W152</f>
        <v>0</v>
      </c>
      <c r="V152" s="965">
        <v>0</v>
      </c>
      <c r="W152" s="965">
        <v>0</v>
      </c>
    </row>
    <row r="153" spans="1:23" s="404" customFormat="1" ht="15" customHeight="1">
      <c r="A153" s="972"/>
      <c r="B153" s="968"/>
      <c r="C153" s="970"/>
      <c r="D153" s="1005"/>
      <c r="E153" s="972"/>
      <c r="F153" s="972"/>
      <c r="G153" s="968"/>
      <c r="H153" s="403">
        <v>14794470</v>
      </c>
      <c r="I153" s="403">
        <v>99949</v>
      </c>
      <c r="J153" s="967"/>
      <c r="K153" s="967"/>
      <c r="L153" s="965"/>
      <c r="M153" s="965"/>
      <c r="N153" s="967"/>
      <c r="O153" s="967"/>
      <c r="P153" s="965"/>
      <c r="Q153" s="965"/>
      <c r="R153" s="967"/>
      <c r="S153" s="965"/>
      <c r="T153" s="965"/>
      <c r="U153" s="967"/>
      <c r="V153" s="965"/>
      <c r="W153" s="965"/>
    </row>
    <row r="154" spans="1:23" s="404" customFormat="1" ht="15" customHeight="1">
      <c r="A154" s="972"/>
      <c r="B154" s="968"/>
      <c r="C154" s="970"/>
      <c r="D154" s="1005"/>
      <c r="E154" s="972"/>
      <c r="F154" s="972"/>
      <c r="G154" s="968"/>
      <c r="H154" s="403">
        <v>0</v>
      </c>
      <c r="I154" s="403">
        <v>0</v>
      </c>
      <c r="J154" s="967"/>
      <c r="K154" s="967"/>
      <c r="L154" s="965"/>
      <c r="M154" s="965"/>
      <c r="N154" s="967"/>
      <c r="O154" s="967"/>
      <c r="P154" s="965"/>
      <c r="Q154" s="965"/>
      <c r="R154" s="967"/>
      <c r="S154" s="965"/>
      <c r="T154" s="965"/>
      <c r="U154" s="967"/>
      <c r="V154" s="965"/>
      <c r="W154" s="965"/>
    </row>
    <row r="155" spans="1:23" s="404" customFormat="1" ht="15" customHeight="1">
      <c r="A155" s="972"/>
      <c r="B155" s="968"/>
      <c r="C155" s="970"/>
      <c r="D155" s="1005"/>
      <c r="E155" s="972"/>
      <c r="F155" s="972"/>
      <c r="G155" s="968"/>
      <c r="H155" s="403">
        <v>2610789</v>
      </c>
      <c r="I155" s="403">
        <v>1085959</v>
      </c>
      <c r="J155" s="967"/>
      <c r="K155" s="967"/>
      <c r="L155" s="965"/>
      <c r="M155" s="965"/>
      <c r="N155" s="967"/>
      <c r="O155" s="967"/>
      <c r="P155" s="965"/>
      <c r="Q155" s="965"/>
      <c r="R155" s="967"/>
      <c r="S155" s="965"/>
      <c r="T155" s="965"/>
      <c r="U155" s="967"/>
      <c r="V155" s="965"/>
      <c r="W155" s="965"/>
    </row>
    <row r="156" spans="1:23" s="404" customFormat="1" ht="15" customHeight="1">
      <c r="A156" s="972"/>
      <c r="B156" s="968"/>
      <c r="C156" s="970"/>
      <c r="D156" s="1005"/>
      <c r="E156" s="972"/>
      <c r="F156" s="972"/>
      <c r="G156" s="968"/>
      <c r="H156" s="403">
        <v>0</v>
      </c>
      <c r="I156" s="403">
        <v>0</v>
      </c>
      <c r="J156" s="967"/>
      <c r="K156" s="967"/>
      <c r="L156" s="965"/>
      <c r="M156" s="965"/>
      <c r="N156" s="967"/>
      <c r="O156" s="967"/>
      <c r="P156" s="965"/>
      <c r="Q156" s="965"/>
      <c r="R156" s="967"/>
      <c r="S156" s="965"/>
      <c r="T156" s="965"/>
      <c r="U156" s="967"/>
      <c r="V156" s="965"/>
      <c r="W156" s="965"/>
    </row>
    <row r="157" spans="1:23" s="404" customFormat="1" ht="17.25" customHeight="1" hidden="1">
      <c r="A157" s="972"/>
      <c r="B157" s="968" t="s">
        <v>440</v>
      </c>
      <c r="C157" s="970" t="s">
        <v>556</v>
      </c>
      <c r="D157" s="1005" t="s">
        <v>564</v>
      </c>
      <c r="E157" s="972" t="s">
        <v>522</v>
      </c>
      <c r="F157" s="972" t="s">
        <v>523</v>
      </c>
      <c r="G157" s="968" t="s">
        <v>518</v>
      </c>
      <c r="H157" s="403">
        <f>H158+H159+H160+H161</f>
        <v>0</v>
      </c>
      <c r="I157" s="403">
        <f>I158+I159+I160+I161</f>
        <v>0</v>
      </c>
      <c r="J157" s="967">
        <f>K157+N157</f>
        <v>0</v>
      </c>
      <c r="K157" s="967">
        <f>L157+M157</f>
        <v>0</v>
      </c>
      <c r="L157" s="965">
        <v>0</v>
      </c>
      <c r="M157" s="965">
        <v>0</v>
      </c>
      <c r="N157" s="967">
        <f>O157+R157+U157</f>
        <v>0</v>
      </c>
      <c r="O157" s="967">
        <f>P157+Q157</f>
        <v>0</v>
      </c>
      <c r="P157" s="965">
        <v>0</v>
      </c>
      <c r="Q157" s="965">
        <v>0</v>
      </c>
      <c r="R157" s="967">
        <f>S157+T157</f>
        <v>0</v>
      </c>
      <c r="S157" s="965">
        <v>0</v>
      </c>
      <c r="T157" s="965">
        <v>0</v>
      </c>
      <c r="U157" s="967">
        <f>V157+W157</f>
        <v>0</v>
      </c>
      <c r="V157" s="965">
        <v>0</v>
      </c>
      <c r="W157" s="965">
        <v>0</v>
      </c>
    </row>
    <row r="158" spans="1:23" s="404" customFormat="1" ht="17.25" customHeight="1" hidden="1">
      <c r="A158" s="972"/>
      <c r="B158" s="968"/>
      <c r="C158" s="970"/>
      <c r="D158" s="1005"/>
      <c r="E158" s="972"/>
      <c r="F158" s="972"/>
      <c r="G158" s="968"/>
      <c r="H158" s="403">
        <v>0</v>
      </c>
      <c r="I158" s="403">
        <v>0</v>
      </c>
      <c r="J158" s="967"/>
      <c r="K158" s="967"/>
      <c r="L158" s="965"/>
      <c r="M158" s="965"/>
      <c r="N158" s="967"/>
      <c r="O158" s="967"/>
      <c r="P158" s="965"/>
      <c r="Q158" s="965"/>
      <c r="R158" s="967"/>
      <c r="S158" s="965"/>
      <c r="T158" s="965"/>
      <c r="U158" s="967"/>
      <c r="V158" s="965"/>
      <c r="W158" s="965"/>
    </row>
    <row r="159" spans="1:23" s="404" customFormat="1" ht="17.25" customHeight="1" hidden="1">
      <c r="A159" s="972"/>
      <c r="B159" s="968"/>
      <c r="C159" s="970"/>
      <c r="D159" s="1005"/>
      <c r="E159" s="972"/>
      <c r="F159" s="972"/>
      <c r="G159" s="968"/>
      <c r="H159" s="403">
        <v>0</v>
      </c>
      <c r="I159" s="403">
        <v>0</v>
      </c>
      <c r="J159" s="967"/>
      <c r="K159" s="967"/>
      <c r="L159" s="965"/>
      <c r="M159" s="965"/>
      <c r="N159" s="967"/>
      <c r="O159" s="967"/>
      <c r="P159" s="965"/>
      <c r="Q159" s="965"/>
      <c r="R159" s="967"/>
      <c r="S159" s="965"/>
      <c r="T159" s="965"/>
      <c r="U159" s="967"/>
      <c r="V159" s="965"/>
      <c r="W159" s="965"/>
    </row>
    <row r="160" spans="1:23" s="404" customFormat="1" ht="17.25" customHeight="1" hidden="1">
      <c r="A160" s="972"/>
      <c r="B160" s="968"/>
      <c r="C160" s="970"/>
      <c r="D160" s="1005"/>
      <c r="E160" s="972"/>
      <c r="F160" s="972"/>
      <c r="G160" s="968"/>
      <c r="H160" s="403">
        <v>0</v>
      </c>
      <c r="I160" s="403">
        <v>0</v>
      </c>
      <c r="J160" s="967"/>
      <c r="K160" s="967"/>
      <c r="L160" s="965"/>
      <c r="M160" s="965"/>
      <c r="N160" s="967"/>
      <c r="O160" s="967"/>
      <c r="P160" s="965"/>
      <c r="Q160" s="965"/>
      <c r="R160" s="967"/>
      <c r="S160" s="965"/>
      <c r="T160" s="965"/>
      <c r="U160" s="967"/>
      <c r="V160" s="965"/>
      <c r="W160" s="965"/>
    </row>
    <row r="161" spans="1:23" s="404" customFormat="1" ht="17.25" customHeight="1" hidden="1">
      <c r="A161" s="972"/>
      <c r="B161" s="968"/>
      <c r="C161" s="970"/>
      <c r="D161" s="1005"/>
      <c r="E161" s="972"/>
      <c r="F161" s="972"/>
      <c r="G161" s="968"/>
      <c r="H161" s="403">
        <v>0</v>
      </c>
      <c r="I161" s="403">
        <v>0</v>
      </c>
      <c r="J161" s="967"/>
      <c r="K161" s="967"/>
      <c r="L161" s="965"/>
      <c r="M161" s="965"/>
      <c r="N161" s="967"/>
      <c r="O161" s="967"/>
      <c r="P161" s="965"/>
      <c r="Q161" s="965"/>
      <c r="R161" s="967"/>
      <c r="S161" s="965"/>
      <c r="T161" s="965"/>
      <c r="U161" s="967"/>
      <c r="V161" s="965"/>
      <c r="W161" s="965"/>
    </row>
    <row r="162" spans="1:23" s="404" customFormat="1" ht="15" customHeight="1">
      <c r="A162" s="972">
        <v>29</v>
      </c>
      <c r="B162" s="968" t="s">
        <v>440</v>
      </c>
      <c r="C162" s="970" t="s">
        <v>556</v>
      </c>
      <c r="D162" s="1005" t="s">
        <v>565</v>
      </c>
      <c r="E162" s="972" t="s">
        <v>522</v>
      </c>
      <c r="F162" s="972" t="s">
        <v>523</v>
      </c>
      <c r="G162" s="968" t="s">
        <v>530</v>
      </c>
      <c r="H162" s="403">
        <f>H163+H164+H165+H166</f>
        <v>75566538</v>
      </c>
      <c r="I162" s="403">
        <f>I163+I164+I165+I166</f>
        <v>790890</v>
      </c>
      <c r="J162" s="967">
        <f>K162+N162</f>
        <v>963522</v>
      </c>
      <c r="K162" s="967">
        <f>L162+M162</f>
        <v>0</v>
      </c>
      <c r="L162" s="965">
        <v>0</v>
      </c>
      <c r="M162" s="965">
        <v>0</v>
      </c>
      <c r="N162" s="967">
        <f>O162+R162+U162</f>
        <v>963522</v>
      </c>
      <c r="O162" s="967">
        <f>P162+Q162</f>
        <v>0</v>
      </c>
      <c r="P162" s="965">
        <v>0</v>
      </c>
      <c r="Q162" s="965">
        <v>0</v>
      </c>
      <c r="R162" s="967">
        <f>S162+T162</f>
        <v>963522</v>
      </c>
      <c r="S162" s="965">
        <v>0</v>
      </c>
      <c r="T162" s="965">
        <v>963522</v>
      </c>
      <c r="U162" s="967">
        <f>V162+W162</f>
        <v>0</v>
      </c>
      <c r="V162" s="965">
        <v>0</v>
      </c>
      <c r="W162" s="965">
        <v>0</v>
      </c>
    </row>
    <row r="163" spans="1:23" s="404" customFormat="1" ht="15" customHeight="1">
      <c r="A163" s="972"/>
      <c r="B163" s="968"/>
      <c r="C163" s="970"/>
      <c r="D163" s="1005"/>
      <c r="E163" s="972"/>
      <c r="F163" s="972"/>
      <c r="G163" s="968"/>
      <c r="H163" s="403">
        <v>64231557</v>
      </c>
      <c r="I163" s="403">
        <v>0</v>
      </c>
      <c r="J163" s="967"/>
      <c r="K163" s="967"/>
      <c r="L163" s="965"/>
      <c r="M163" s="965"/>
      <c r="N163" s="967"/>
      <c r="O163" s="967"/>
      <c r="P163" s="965"/>
      <c r="Q163" s="965"/>
      <c r="R163" s="967"/>
      <c r="S163" s="965"/>
      <c r="T163" s="965"/>
      <c r="U163" s="967"/>
      <c r="V163" s="965"/>
      <c r="W163" s="965"/>
    </row>
    <row r="164" spans="1:23" s="404" customFormat="1" ht="15" customHeight="1">
      <c r="A164" s="972"/>
      <c r="B164" s="968"/>
      <c r="C164" s="970"/>
      <c r="D164" s="1005"/>
      <c r="E164" s="972"/>
      <c r="F164" s="972"/>
      <c r="G164" s="968"/>
      <c r="H164" s="403">
        <v>0</v>
      </c>
      <c r="I164" s="403">
        <v>0</v>
      </c>
      <c r="J164" s="967"/>
      <c r="K164" s="967"/>
      <c r="L164" s="965"/>
      <c r="M164" s="965"/>
      <c r="N164" s="967"/>
      <c r="O164" s="967"/>
      <c r="P164" s="965"/>
      <c r="Q164" s="965"/>
      <c r="R164" s="967"/>
      <c r="S164" s="965"/>
      <c r="T164" s="965"/>
      <c r="U164" s="967"/>
      <c r="V164" s="965"/>
      <c r="W164" s="965"/>
    </row>
    <row r="165" spans="1:23" s="404" customFormat="1" ht="15" customHeight="1">
      <c r="A165" s="972"/>
      <c r="B165" s="968"/>
      <c r="C165" s="970"/>
      <c r="D165" s="1005"/>
      <c r="E165" s="972"/>
      <c r="F165" s="972"/>
      <c r="G165" s="968"/>
      <c r="H165" s="403">
        <v>11334981</v>
      </c>
      <c r="I165" s="403">
        <v>790890</v>
      </c>
      <c r="J165" s="967"/>
      <c r="K165" s="967"/>
      <c r="L165" s="965"/>
      <c r="M165" s="965"/>
      <c r="N165" s="967"/>
      <c r="O165" s="967"/>
      <c r="P165" s="965"/>
      <c r="Q165" s="965"/>
      <c r="R165" s="967"/>
      <c r="S165" s="965"/>
      <c r="T165" s="965"/>
      <c r="U165" s="967"/>
      <c r="V165" s="965"/>
      <c r="W165" s="965"/>
    </row>
    <row r="166" spans="1:23" s="404" customFormat="1" ht="15" customHeight="1">
      <c r="A166" s="972"/>
      <c r="B166" s="968"/>
      <c r="C166" s="970"/>
      <c r="D166" s="1005"/>
      <c r="E166" s="972"/>
      <c r="F166" s="972"/>
      <c r="G166" s="968"/>
      <c r="H166" s="403">
        <v>0</v>
      </c>
      <c r="I166" s="403">
        <v>0</v>
      </c>
      <c r="J166" s="967"/>
      <c r="K166" s="967"/>
      <c r="L166" s="965"/>
      <c r="M166" s="965"/>
      <c r="N166" s="967"/>
      <c r="O166" s="967"/>
      <c r="P166" s="965"/>
      <c r="Q166" s="965"/>
      <c r="R166" s="967"/>
      <c r="S166" s="965"/>
      <c r="T166" s="965"/>
      <c r="U166" s="967"/>
      <c r="V166" s="965"/>
      <c r="W166" s="965"/>
    </row>
    <row r="167" spans="1:23" s="404" customFormat="1" ht="15" customHeight="1">
      <c r="A167" s="972">
        <v>30</v>
      </c>
      <c r="B167" s="969" t="s">
        <v>440</v>
      </c>
      <c r="C167" s="970" t="s">
        <v>556</v>
      </c>
      <c r="D167" s="971" t="s">
        <v>566</v>
      </c>
      <c r="E167" s="972" t="s">
        <v>522</v>
      </c>
      <c r="F167" s="972" t="s">
        <v>523</v>
      </c>
      <c r="G167" s="972" t="s">
        <v>567</v>
      </c>
      <c r="H167" s="403">
        <f>H169+H168+H170+H171</f>
        <v>40871837</v>
      </c>
      <c r="I167" s="403">
        <f>I169+I168+I170+I171</f>
        <v>607900</v>
      </c>
      <c r="J167" s="967">
        <f>K167+N167</f>
        <v>2146865</v>
      </c>
      <c r="K167" s="967">
        <f>L167+M167</f>
        <v>0</v>
      </c>
      <c r="L167" s="965">
        <v>0</v>
      </c>
      <c r="M167" s="965">
        <v>0</v>
      </c>
      <c r="N167" s="967">
        <f>O167+R167+U167</f>
        <v>2146865</v>
      </c>
      <c r="O167" s="967">
        <f>P167+Q167</f>
        <v>0</v>
      </c>
      <c r="P167" s="965">
        <v>0</v>
      </c>
      <c r="Q167" s="965">
        <v>0</v>
      </c>
      <c r="R167" s="967">
        <f>S167+T167</f>
        <v>2146865</v>
      </c>
      <c r="S167" s="965">
        <v>0</v>
      </c>
      <c r="T167" s="965">
        <v>2146865</v>
      </c>
      <c r="U167" s="967">
        <f>V167+W167</f>
        <v>0</v>
      </c>
      <c r="V167" s="965">
        <v>0</v>
      </c>
      <c r="W167" s="965">
        <v>0</v>
      </c>
    </row>
    <row r="168" spans="1:23" s="404" customFormat="1" ht="15" customHeight="1">
      <c r="A168" s="972"/>
      <c r="B168" s="969"/>
      <c r="C168" s="970"/>
      <c r="D168" s="971"/>
      <c r="E168" s="972"/>
      <c r="F168" s="972"/>
      <c r="G168" s="972"/>
      <c r="H168" s="403">
        <v>34730606</v>
      </c>
      <c r="I168" s="403">
        <v>0</v>
      </c>
      <c r="J168" s="967"/>
      <c r="K168" s="967"/>
      <c r="L168" s="965"/>
      <c r="M168" s="965"/>
      <c r="N168" s="967"/>
      <c r="O168" s="967"/>
      <c r="P168" s="965"/>
      <c r="Q168" s="965"/>
      <c r="R168" s="967"/>
      <c r="S168" s="965"/>
      <c r="T168" s="965"/>
      <c r="U168" s="967"/>
      <c r="V168" s="965"/>
      <c r="W168" s="965"/>
    </row>
    <row r="169" spans="1:23" s="404" customFormat="1" ht="15" customHeight="1">
      <c r="A169" s="972"/>
      <c r="B169" s="969"/>
      <c r="C169" s="970"/>
      <c r="D169" s="971"/>
      <c r="E169" s="972"/>
      <c r="F169" s="972"/>
      <c r="G169" s="972"/>
      <c r="H169" s="403">
        <v>0</v>
      </c>
      <c r="I169" s="403">
        <v>0</v>
      </c>
      <c r="J169" s="967"/>
      <c r="K169" s="967"/>
      <c r="L169" s="965"/>
      <c r="M169" s="965"/>
      <c r="N169" s="967"/>
      <c r="O169" s="967"/>
      <c r="P169" s="965"/>
      <c r="Q169" s="965"/>
      <c r="R169" s="967"/>
      <c r="S169" s="965"/>
      <c r="T169" s="965"/>
      <c r="U169" s="967"/>
      <c r="V169" s="965"/>
      <c r="W169" s="965"/>
    </row>
    <row r="170" spans="1:23" s="404" customFormat="1" ht="15" customHeight="1">
      <c r="A170" s="972"/>
      <c r="B170" s="969"/>
      <c r="C170" s="970"/>
      <c r="D170" s="971"/>
      <c r="E170" s="972"/>
      <c r="F170" s="972"/>
      <c r="G170" s="972"/>
      <c r="H170" s="403">
        <v>6141231</v>
      </c>
      <c r="I170" s="403">
        <v>607900</v>
      </c>
      <c r="J170" s="967"/>
      <c r="K170" s="967"/>
      <c r="L170" s="965"/>
      <c r="M170" s="965"/>
      <c r="N170" s="967"/>
      <c r="O170" s="967"/>
      <c r="P170" s="965"/>
      <c r="Q170" s="965"/>
      <c r="R170" s="967"/>
      <c r="S170" s="965"/>
      <c r="T170" s="965"/>
      <c r="U170" s="967"/>
      <c r="V170" s="965"/>
      <c r="W170" s="965"/>
    </row>
    <row r="171" spans="1:23" s="404" customFormat="1" ht="15" customHeight="1">
      <c r="A171" s="972"/>
      <c r="B171" s="969"/>
      <c r="C171" s="970"/>
      <c r="D171" s="971"/>
      <c r="E171" s="972"/>
      <c r="F171" s="972"/>
      <c r="G171" s="972"/>
      <c r="H171" s="403">
        <v>0</v>
      </c>
      <c r="I171" s="403">
        <v>0</v>
      </c>
      <c r="J171" s="967"/>
      <c r="K171" s="967"/>
      <c r="L171" s="965"/>
      <c r="M171" s="965"/>
      <c r="N171" s="967"/>
      <c r="O171" s="967"/>
      <c r="P171" s="965"/>
      <c r="Q171" s="965"/>
      <c r="R171" s="967"/>
      <c r="S171" s="965"/>
      <c r="T171" s="965"/>
      <c r="U171" s="967"/>
      <c r="V171" s="965"/>
      <c r="W171" s="965"/>
    </row>
    <row r="172" spans="1:23" s="404" customFormat="1" ht="15" customHeight="1">
      <c r="A172" s="972">
        <v>31</v>
      </c>
      <c r="B172" s="968" t="s">
        <v>440</v>
      </c>
      <c r="C172" s="970" t="s">
        <v>556</v>
      </c>
      <c r="D172" s="1005" t="s">
        <v>568</v>
      </c>
      <c r="E172" s="972" t="s">
        <v>522</v>
      </c>
      <c r="F172" s="972" t="s">
        <v>523</v>
      </c>
      <c r="G172" s="968" t="s">
        <v>530</v>
      </c>
      <c r="H172" s="403">
        <f>H173+H174+H175+H176</f>
        <v>35224475</v>
      </c>
      <c r="I172" s="403">
        <f>I173+I174+I175+I176</f>
        <v>225000</v>
      </c>
      <c r="J172" s="967">
        <f>K172+N172</f>
        <v>1000000</v>
      </c>
      <c r="K172" s="967">
        <f>L172+M172</f>
        <v>0</v>
      </c>
      <c r="L172" s="965">
        <v>0</v>
      </c>
      <c r="M172" s="965">
        <v>0</v>
      </c>
      <c r="N172" s="967">
        <f>O172+R172+U172</f>
        <v>1000000</v>
      </c>
      <c r="O172" s="967">
        <f>P172+Q172</f>
        <v>0</v>
      </c>
      <c r="P172" s="965">
        <v>0</v>
      </c>
      <c r="Q172" s="965">
        <v>0</v>
      </c>
      <c r="R172" s="967">
        <f>S172+T172</f>
        <v>1000000</v>
      </c>
      <c r="S172" s="965">
        <v>0</v>
      </c>
      <c r="T172" s="965">
        <v>1000000</v>
      </c>
      <c r="U172" s="967">
        <f>V172+W172</f>
        <v>0</v>
      </c>
      <c r="V172" s="965">
        <v>0</v>
      </c>
      <c r="W172" s="965">
        <v>0</v>
      </c>
    </row>
    <row r="173" spans="1:23" s="404" customFormat="1" ht="15" customHeight="1">
      <c r="A173" s="972"/>
      <c r="B173" s="968"/>
      <c r="C173" s="970"/>
      <c r="D173" s="1005"/>
      <c r="E173" s="972"/>
      <c r="F173" s="972"/>
      <c r="G173" s="968"/>
      <c r="H173" s="403">
        <v>29940804</v>
      </c>
      <c r="I173" s="403">
        <v>0</v>
      </c>
      <c r="J173" s="967"/>
      <c r="K173" s="967"/>
      <c r="L173" s="965"/>
      <c r="M173" s="965"/>
      <c r="N173" s="967"/>
      <c r="O173" s="967"/>
      <c r="P173" s="965"/>
      <c r="Q173" s="965"/>
      <c r="R173" s="967"/>
      <c r="S173" s="965"/>
      <c r="T173" s="965"/>
      <c r="U173" s="967"/>
      <c r="V173" s="965"/>
      <c r="W173" s="965"/>
    </row>
    <row r="174" spans="1:23" s="404" customFormat="1" ht="15" customHeight="1">
      <c r="A174" s="972"/>
      <c r="B174" s="968"/>
      <c r="C174" s="970"/>
      <c r="D174" s="1005"/>
      <c r="E174" s="972"/>
      <c r="F174" s="972"/>
      <c r="G174" s="968"/>
      <c r="H174" s="403">
        <v>0</v>
      </c>
      <c r="I174" s="403">
        <v>0</v>
      </c>
      <c r="J174" s="967"/>
      <c r="K174" s="967"/>
      <c r="L174" s="965"/>
      <c r="M174" s="965"/>
      <c r="N174" s="967"/>
      <c r="O174" s="967"/>
      <c r="P174" s="965"/>
      <c r="Q174" s="965"/>
      <c r="R174" s="967"/>
      <c r="S174" s="965"/>
      <c r="T174" s="965"/>
      <c r="U174" s="967"/>
      <c r="V174" s="965"/>
      <c r="W174" s="965"/>
    </row>
    <row r="175" spans="1:23" s="404" customFormat="1" ht="15" customHeight="1">
      <c r="A175" s="972"/>
      <c r="B175" s="968"/>
      <c r="C175" s="970"/>
      <c r="D175" s="1005"/>
      <c r="E175" s="972"/>
      <c r="F175" s="972"/>
      <c r="G175" s="968"/>
      <c r="H175" s="403">
        <v>5283671</v>
      </c>
      <c r="I175" s="403">
        <v>225000</v>
      </c>
      <c r="J175" s="967"/>
      <c r="K175" s="967"/>
      <c r="L175" s="965"/>
      <c r="M175" s="965"/>
      <c r="N175" s="967"/>
      <c r="O175" s="967"/>
      <c r="P175" s="965"/>
      <c r="Q175" s="965"/>
      <c r="R175" s="967"/>
      <c r="S175" s="965"/>
      <c r="T175" s="965"/>
      <c r="U175" s="967"/>
      <c r="V175" s="965"/>
      <c r="W175" s="965"/>
    </row>
    <row r="176" spans="1:23" s="404" customFormat="1" ht="15" customHeight="1">
      <c r="A176" s="972"/>
      <c r="B176" s="968"/>
      <c r="C176" s="970"/>
      <c r="D176" s="1005"/>
      <c r="E176" s="972"/>
      <c r="F176" s="972"/>
      <c r="G176" s="968"/>
      <c r="H176" s="403">
        <v>0</v>
      </c>
      <c r="I176" s="403">
        <v>0</v>
      </c>
      <c r="J176" s="967"/>
      <c r="K176" s="967"/>
      <c r="L176" s="965"/>
      <c r="M176" s="965"/>
      <c r="N176" s="967"/>
      <c r="O176" s="967"/>
      <c r="P176" s="965"/>
      <c r="Q176" s="965"/>
      <c r="R176" s="967"/>
      <c r="S176" s="965"/>
      <c r="T176" s="965"/>
      <c r="U176" s="967"/>
      <c r="V176" s="965"/>
      <c r="W176" s="965"/>
    </row>
    <row r="177" spans="1:23" s="404" customFormat="1" ht="15" customHeight="1">
      <c r="A177" s="972">
        <v>32</v>
      </c>
      <c r="B177" s="968" t="s">
        <v>440</v>
      </c>
      <c r="C177" s="970" t="s">
        <v>556</v>
      </c>
      <c r="D177" s="1005" t="s">
        <v>569</v>
      </c>
      <c r="E177" s="972" t="s">
        <v>522</v>
      </c>
      <c r="F177" s="972" t="s">
        <v>523</v>
      </c>
      <c r="G177" s="968" t="s">
        <v>530</v>
      </c>
      <c r="H177" s="403">
        <f>H178+H179+H180+H181</f>
        <v>37921275</v>
      </c>
      <c r="I177" s="403">
        <f>I178+I179+I180+I181</f>
        <v>225000</v>
      </c>
      <c r="J177" s="967">
        <f>K177+N177</f>
        <v>1000000</v>
      </c>
      <c r="K177" s="967">
        <f>L177+M177</f>
        <v>0</v>
      </c>
      <c r="L177" s="965">
        <v>0</v>
      </c>
      <c r="M177" s="965">
        <v>0</v>
      </c>
      <c r="N177" s="967">
        <f>O177+R177+U177</f>
        <v>1000000</v>
      </c>
      <c r="O177" s="967">
        <f>P177+Q177</f>
        <v>0</v>
      </c>
      <c r="P177" s="965">
        <v>0</v>
      </c>
      <c r="Q177" s="965">
        <v>0</v>
      </c>
      <c r="R177" s="967">
        <f>S177+T177</f>
        <v>1000000</v>
      </c>
      <c r="S177" s="965">
        <v>0</v>
      </c>
      <c r="T177" s="965">
        <v>1000000</v>
      </c>
      <c r="U177" s="967">
        <f>V177+W177</f>
        <v>0</v>
      </c>
      <c r="V177" s="965">
        <v>0</v>
      </c>
      <c r="W177" s="965">
        <v>0</v>
      </c>
    </row>
    <row r="178" spans="1:23" s="404" customFormat="1" ht="15" customHeight="1">
      <c r="A178" s="972"/>
      <c r="B178" s="968"/>
      <c r="C178" s="970"/>
      <c r="D178" s="1005"/>
      <c r="E178" s="972"/>
      <c r="F178" s="972"/>
      <c r="G178" s="968"/>
      <c r="H178" s="403">
        <v>32233084</v>
      </c>
      <c r="I178" s="403">
        <v>0</v>
      </c>
      <c r="J178" s="967"/>
      <c r="K178" s="967"/>
      <c r="L178" s="965"/>
      <c r="M178" s="965"/>
      <c r="N178" s="967"/>
      <c r="O178" s="967"/>
      <c r="P178" s="965"/>
      <c r="Q178" s="965"/>
      <c r="R178" s="967"/>
      <c r="S178" s="965"/>
      <c r="T178" s="965"/>
      <c r="U178" s="967"/>
      <c r="V178" s="965"/>
      <c r="W178" s="965"/>
    </row>
    <row r="179" spans="1:23" s="404" customFormat="1" ht="15" customHeight="1">
      <c r="A179" s="972"/>
      <c r="B179" s="968"/>
      <c r="C179" s="970"/>
      <c r="D179" s="1005"/>
      <c r="E179" s="972"/>
      <c r="F179" s="972"/>
      <c r="G179" s="968"/>
      <c r="H179" s="403">
        <v>0</v>
      </c>
      <c r="I179" s="403">
        <v>0</v>
      </c>
      <c r="J179" s="967"/>
      <c r="K179" s="967"/>
      <c r="L179" s="965"/>
      <c r="M179" s="965"/>
      <c r="N179" s="967"/>
      <c r="O179" s="967"/>
      <c r="P179" s="965"/>
      <c r="Q179" s="965"/>
      <c r="R179" s="967"/>
      <c r="S179" s="965"/>
      <c r="T179" s="965"/>
      <c r="U179" s="967"/>
      <c r="V179" s="965"/>
      <c r="W179" s="965"/>
    </row>
    <row r="180" spans="1:23" s="404" customFormat="1" ht="15" customHeight="1">
      <c r="A180" s="972"/>
      <c r="B180" s="968"/>
      <c r="C180" s="970"/>
      <c r="D180" s="1005"/>
      <c r="E180" s="972"/>
      <c r="F180" s="972"/>
      <c r="G180" s="968"/>
      <c r="H180" s="403">
        <v>5688191</v>
      </c>
      <c r="I180" s="403">
        <v>225000</v>
      </c>
      <c r="J180" s="967"/>
      <c r="K180" s="967"/>
      <c r="L180" s="965"/>
      <c r="M180" s="965"/>
      <c r="N180" s="967"/>
      <c r="O180" s="967"/>
      <c r="P180" s="965"/>
      <c r="Q180" s="965"/>
      <c r="R180" s="967"/>
      <c r="S180" s="965"/>
      <c r="T180" s="965"/>
      <c r="U180" s="967"/>
      <c r="V180" s="965"/>
      <c r="W180" s="965"/>
    </row>
    <row r="181" spans="1:23" s="404" customFormat="1" ht="15" customHeight="1">
      <c r="A181" s="972"/>
      <c r="B181" s="968"/>
      <c r="C181" s="970"/>
      <c r="D181" s="1005"/>
      <c r="E181" s="972"/>
      <c r="F181" s="972"/>
      <c r="G181" s="968"/>
      <c r="H181" s="403">
        <v>0</v>
      </c>
      <c r="I181" s="403">
        <v>0</v>
      </c>
      <c r="J181" s="967"/>
      <c r="K181" s="967"/>
      <c r="L181" s="965"/>
      <c r="M181" s="965"/>
      <c r="N181" s="967"/>
      <c r="O181" s="967"/>
      <c r="P181" s="965"/>
      <c r="Q181" s="965"/>
      <c r="R181" s="967"/>
      <c r="S181" s="965"/>
      <c r="T181" s="965"/>
      <c r="U181" s="967"/>
      <c r="V181" s="965"/>
      <c r="W181" s="965"/>
    </row>
    <row r="182" spans="1:23" s="404" customFormat="1" ht="15" customHeight="1">
      <c r="A182" s="972">
        <v>33</v>
      </c>
      <c r="B182" s="968" t="s">
        <v>440</v>
      </c>
      <c r="C182" s="970" t="s">
        <v>556</v>
      </c>
      <c r="D182" s="1005" t="s">
        <v>570</v>
      </c>
      <c r="E182" s="972" t="s">
        <v>522</v>
      </c>
      <c r="F182" s="972" t="s">
        <v>523</v>
      </c>
      <c r="G182" s="968" t="s">
        <v>528</v>
      </c>
      <c r="H182" s="403">
        <f>H183+H184+H185+H186</f>
        <v>6249270</v>
      </c>
      <c r="I182" s="403">
        <f>I183+I184+I185+I186</f>
        <v>300000</v>
      </c>
      <c r="J182" s="967">
        <f>K182+N182</f>
        <v>637391</v>
      </c>
      <c r="K182" s="967">
        <f>L182+M182</f>
        <v>0</v>
      </c>
      <c r="L182" s="965">
        <v>0</v>
      </c>
      <c r="M182" s="965">
        <v>0</v>
      </c>
      <c r="N182" s="967">
        <f>O182+R182+U182</f>
        <v>637391</v>
      </c>
      <c r="O182" s="967">
        <f>P182+Q182</f>
        <v>0</v>
      </c>
      <c r="P182" s="965">
        <v>0</v>
      </c>
      <c r="Q182" s="965">
        <v>0</v>
      </c>
      <c r="R182" s="967">
        <f>S182+T182</f>
        <v>637391</v>
      </c>
      <c r="S182" s="965">
        <v>0</v>
      </c>
      <c r="T182" s="965">
        <v>637391</v>
      </c>
      <c r="U182" s="967">
        <f>V182+W182</f>
        <v>0</v>
      </c>
      <c r="V182" s="965">
        <v>0</v>
      </c>
      <c r="W182" s="965">
        <v>0</v>
      </c>
    </row>
    <row r="183" spans="1:23" s="404" customFormat="1" ht="15" customHeight="1">
      <c r="A183" s="972"/>
      <c r="B183" s="968"/>
      <c r="C183" s="970"/>
      <c r="D183" s="1005"/>
      <c r="E183" s="972"/>
      <c r="F183" s="972"/>
      <c r="G183" s="968"/>
      <c r="H183" s="403">
        <v>5311879</v>
      </c>
      <c r="I183" s="403">
        <v>0</v>
      </c>
      <c r="J183" s="967"/>
      <c r="K183" s="967"/>
      <c r="L183" s="965"/>
      <c r="M183" s="965"/>
      <c r="N183" s="967"/>
      <c r="O183" s="967"/>
      <c r="P183" s="965"/>
      <c r="Q183" s="965"/>
      <c r="R183" s="967"/>
      <c r="S183" s="965"/>
      <c r="T183" s="965"/>
      <c r="U183" s="967"/>
      <c r="V183" s="965"/>
      <c r="W183" s="965"/>
    </row>
    <row r="184" spans="1:23" s="404" customFormat="1" ht="15" customHeight="1">
      <c r="A184" s="972"/>
      <c r="B184" s="968"/>
      <c r="C184" s="970"/>
      <c r="D184" s="1005"/>
      <c r="E184" s="972"/>
      <c r="F184" s="972"/>
      <c r="G184" s="968"/>
      <c r="H184" s="403">
        <v>0</v>
      </c>
      <c r="I184" s="403">
        <v>0</v>
      </c>
      <c r="J184" s="967"/>
      <c r="K184" s="967"/>
      <c r="L184" s="965"/>
      <c r="M184" s="965"/>
      <c r="N184" s="967"/>
      <c r="O184" s="967"/>
      <c r="P184" s="965"/>
      <c r="Q184" s="965"/>
      <c r="R184" s="967"/>
      <c r="S184" s="965"/>
      <c r="T184" s="965"/>
      <c r="U184" s="967"/>
      <c r="V184" s="965"/>
      <c r="W184" s="965"/>
    </row>
    <row r="185" spans="1:23" s="404" customFormat="1" ht="15" customHeight="1">
      <c r="A185" s="972"/>
      <c r="B185" s="968"/>
      <c r="C185" s="970"/>
      <c r="D185" s="1005"/>
      <c r="E185" s="972"/>
      <c r="F185" s="972"/>
      <c r="G185" s="968"/>
      <c r="H185" s="403">
        <v>937391</v>
      </c>
      <c r="I185" s="403">
        <v>300000</v>
      </c>
      <c r="J185" s="967"/>
      <c r="K185" s="967"/>
      <c r="L185" s="965"/>
      <c r="M185" s="965"/>
      <c r="N185" s="967"/>
      <c r="O185" s="967"/>
      <c r="P185" s="965"/>
      <c r="Q185" s="965"/>
      <c r="R185" s="967"/>
      <c r="S185" s="965"/>
      <c r="T185" s="965"/>
      <c r="U185" s="967"/>
      <c r="V185" s="965"/>
      <c r="W185" s="965"/>
    </row>
    <row r="186" spans="1:23" s="404" customFormat="1" ht="15" customHeight="1">
      <c r="A186" s="972"/>
      <c r="B186" s="968"/>
      <c r="C186" s="970"/>
      <c r="D186" s="1005"/>
      <c r="E186" s="972"/>
      <c r="F186" s="972"/>
      <c r="G186" s="968"/>
      <c r="H186" s="403">
        <v>0</v>
      </c>
      <c r="I186" s="403">
        <v>0</v>
      </c>
      <c r="J186" s="967"/>
      <c r="K186" s="967"/>
      <c r="L186" s="965"/>
      <c r="M186" s="965"/>
      <c r="N186" s="967"/>
      <c r="O186" s="967"/>
      <c r="P186" s="965"/>
      <c r="Q186" s="965"/>
      <c r="R186" s="967"/>
      <c r="S186" s="965"/>
      <c r="T186" s="965"/>
      <c r="U186" s="967"/>
      <c r="V186" s="965"/>
      <c r="W186" s="965"/>
    </row>
    <row r="187" spans="1:23" s="404" customFormat="1" ht="14.25" customHeight="1">
      <c r="A187" s="972">
        <v>34</v>
      </c>
      <c r="B187" s="968" t="s">
        <v>440</v>
      </c>
      <c r="C187" s="970" t="s">
        <v>556</v>
      </c>
      <c r="D187" s="1005" t="s">
        <v>571</v>
      </c>
      <c r="E187" s="972" t="s">
        <v>522</v>
      </c>
      <c r="F187" s="972" t="s">
        <v>523</v>
      </c>
      <c r="G187" s="968" t="s">
        <v>530</v>
      </c>
      <c r="H187" s="403">
        <f>H188+H189+H190+H191</f>
        <v>34982248</v>
      </c>
      <c r="I187" s="403">
        <f>I188+I189+I190+I191</f>
        <v>551971</v>
      </c>
      <c r="J187" s="967">
        <f>K187+N187</f>
        <v>1000000</v>
      </c>
      <c r="K187" s="967">
        <f>L187+M187</f>
        <v>0</v>
      </c>
      <c r="L187" s="965">
        <v>0</v>
      </c>
      <c r="M187" s="965">
        <v>0</v>
      </c>
      <c r="N187" s="967">
        <f>O187+R187+U187</f>
        <v>1000000</v>
      </c>
      <c r="O187" s="967">
        <f>P187+Q187</f>
        <v>0</v>
      </c>
      <c r="P187" s="965">
        <v>0</v>
      </c>
      <c r="Q187" s="965">
        <v>0</v>
      </c>
      <c r="R187" s="967">
        <f>S187+T187</f>
        <v>1000000</v>
      </c>
      <c r="S187" s="965">
        <v>0</v>
      </c>
      <c r="T187" s="965">
        <v>1000000</v>
      </c>
      <c r="U187" s="967">
        <f>V187+W187</f>
        <v>0</v>
      </c>
      <c r="V187" s="965">
        <v>0</v>
      </c>
      <c r="W187" s="965">
        <v>0</v>
      </c>
    </row>
    <row r="188" spans="1:23" s="404" customFormat="1" ht="14.25" customHeight="1">
      <c r="A188" s="972"/>
      <c r="B188" s="968"/>
      <c r="C188" s="970"/>
      <c r="D188" s="1005"/>
      <c r="E188" s="972"/>
      <c r="F188" s="972"/>
      <c r="G188" s="968"/>
      <c r="H188" s="403">
        <v>29734911</v>
      </c>
      <c r="I188" s="403">
        <v>0</v>
      </c>
      <c r="J188" s="967"/>
      <c r="K188" s="967"/>
      <c r="L188" s="965"/>
      <c r="M188" s="965"/>
      <c r="N188" s="967"/>
      <c r="O188" s="967"/>
      <c r="P188" s="965"/>
      <c r="Q188" s="965"/>
      <c r="R188" s="967"/>
      <c r="S188" s="965"/>
      <c r="T188" s="965"/>
      <c r="U188" s="967"/>
      <c r="V188" s="965"/>
      <c r="W188" s="965"/>
    </row>
    <row r="189" spans="1:23" s="404" customFormat="1" ht="14.25" customHeight="1">
      <c r="A189" s="972"/>
      <c r="B189" s="968"/>
      <c r="C189" s="970"/>
      <c r="D189" s="1005"/>
      <c r="E189" s="972"/>
      <c r="F189" s="972"/>
      <c r="G189" s="968"/>
      <c r="H189" s="403">
        <v>0</v>
      </c>
      <c r="I189" s="403">
        <v>0</v>
      </c>
      <c r="J189" s="967"/>
      <c r="K189" s="967"/>
      <c r="L189" s="965"/>
      <c r="M189" s="965"/>
      <c r="N189" s="967"/>
      <c r="O189" s="967"/>
      <c r="P189" s="965"/>
      <c r="Q189" s="965"/>
      <c r="R189" s="967"/>
      <c r="S189" s="965"/>
      <c r="T189" s="965"/>
      <c r="U189" s="967"/>
      <c r="V189" s="965"/>
      <c r="W189" s="965"/>
    </row>
    <row r="190" spans="1:23" s="404" customFormat="1" ht="14.25" customHeight="1">
      <c r="A190" s="972"/>
      <c r="B190" s="968"/>
      <c r="C190" s="970"/>
      <c r="D190" s="1005"/>
      <c r="E190" s="972"/>
      <c r="F190" s="972"/>
      <c r="G190" s="968"/>
      <c r="H190" s="403">
        <v>5247337</v>
      </c>
      <c r="I190" s="403">
        <v>551971</v>
      </c>
      <c r="J190" s="967"/>
      <c r="K190" s="967"/>
      <c r="L190" s="965"/>
      <c r="M190" s="965"/>
      <c r="N190" s="967"/>
      <c r="O190" s="967"/>
      <c r="P190" s="965"/>
      <c r="Q190" s="965"/>
      <c r="R190" s="967"/>
      <c r="S190" s="965"/>
      <c r="T190" s="965"/>
      <c r="U190" s="967"/>
      <c r="V190" s="965"/>
      <c r="W190" s="965"/>
    </row>
    <row r="191" spans="1:23" s="404" customFormat="1" ht="14.25" customHeight="1">
      <c r="A191" s="972"/>
      <c r="B191" s="968"/>
      <c r="C191" s="970"/>
      <c r="D191" s="1005"/>
      <c r="E191" s="972"/>
      <c r="F191" s="972"/>
      <c r="G191" s="968"/>
      <c r="H191" s="403">
        <v>0</v>
      </c>
      <c r="I191" s="403">
        <v>0</v>
      </c>
      <c r="J191" s="967"/>
      <c r="K191" s="967"/>
      <c r="L191" s="965"/>
      <c r="M191" s="965"/>
      <c r="N191" s="967"/>
      <c r="O191" s="967"/>
      <c r="P191" s="965"/>
      <c r="Q191" s="965"/>
      <c r="R191" s="967"/>
      <c r="S191" s="965"/>
      <c r="T191" s="965"/>
      <c r="U191" s="967"/>
      <c r="V191" s="965"/>
      <c r="W191" s="965"/>
    </row>
    <row r="192" spans="1:23" s="404" customFormat="1" ht="14.25" customHeight="1">
      <c r="A192" s="972">
        <v>35</v>
      </c>
      <c r="B192" s="968" t="s">
        <v>440</v>
      </c>
      <c r="C192" s="970" t="s">
        <v>556</v>
      </c>
      <c r="D192" s="1005" t="s">
        <v>572</v>
      </c>
      <c r="E192" s="972" t="s">
        <v>522</v>
      </c>
      <c r="F192" s="972" t="s">
        <v>523</v>
      </c>
      <c r="G192" s="968" t="s">
        <v>530</v>
      </c>
      <c r="H192" s="403">
        <f>H193+H194+H195+H196</f>
        <v>50899473</v>
      </c>
      <c r="I192" s="403">
        <f>I193+I194+I195+I196</f>
        <v>225000</v>
      </c>
      <c r="J192" s="967">
        <f>K192+N192</f>
        <v>1000000</v>
      </c>
      <c r="K192" s="967">
        <f>L192+M192</f>
        <v>0</v>
      </c>
      <c r="L192" s="965">
        <v>0</v>
      </c>
      <c r="M192" s="965">
        <v>0</v>
      </c>
      <c r="N192" s="967">
        <f>O192+R192+U192</f>
        <v>1000000</v>
      </c>
      <c r="O192" s="967">
        <f>P192+Q192</f>
        <v>0</v>
      </c>
      <c r="P192" s="965">
        <v>0</v>
      </c>
      <c r="Q192" s="965">
        <v>0</v>
      </c>
      <c r="R192" s="967">
        <f>S192+T192</f>
        <v>1000000</v>
      </c>
      <c r="S192" s="965">
        <v>0</v>
      </c>
      <c r="T192" s="965">
        <v>1000000</v>
      </c>
      <c r="U192" s="967">
        <f>V192+W192</f>
        <v>0</v>
      </c>
      <c r="V192" s="965">
        <v>0</v>
      </c>
      <c r="W192" s="965">
        <v>0</v>
      </c>
    </row>
    <row r="193" spans="1:23" s="404" customFormat="1" ht="14.25" customHeight="1">
      <c r="A193" s="972"/>
      <c r="B193" s="968"/>
      <c r="C193" s="970"/>
      <c r="D193" s="1005"/>
      <c r="E193" s="972"/>
      <c r="F193" s="972"/>
      <c r="G193" s="968"/>
      <c r="H193" s="403">
        <v>43264552</v>
      </c>
      <c r="I193" s="403">
        <v>0</v>
      </c>
      <c r="J193" s="967"/>
      <c r="K193" s="967"/>
      <c r="L193" s="965"/>
      <c r="M193" s="965"/>
      <c r="N193" s="967"/>
      <c r="O193" s="967"/>
      <c r="P193" s="965"/>
      <c r="Q193" s="965"/>
      <c r="R193" s="967"/>
      <c r="S193" s="965"/>
      <c r="T193" s="965"/>
      <c r="U193" s="967"/>
      <c r="V193" s="965"/>
      <c r="W193" s="965"/>
    </row>
    <row r="194" spans="1:23" s="404" customFormat="1" ht="14.25" customHeight="1">
      <c r="A194" s="972"/>
      <c r="B194" s="968"/>
      <c r="C194" s="970"/>
      <c r="D194" s="1005"/>
      <c r="E194" s="972"/>
      <c r="F194" s="972"/>
      <c r="G194" s="968"/>
      <c r="H194" s="403">
        <v>0</v>
      </c>
      <c r="I194" s="403">
        <v>0</v>
      </c>
      <c r="J194" s="967"/>
      <c r="K194" s="967"/>
      <c r="L194" s="965"/>
      <c r="M194" s="965"/>
      <c r="N194" s="967"/>
      <c r="O194" s="967"/>
      <c r="P194" s="965"/>
      <c r="Q194" s="965"/>
      <c r="R194" s="967"/>
      <c r="S194" s="965"/>
      <c r="T194" s="965"/>
      <c r="U194" s="967"/>
      <c r="V194" s="965"/>
      <c r="W194" s="965"/>
    </row>
    <row r="195" spans="1:23" s="404" customFormat="1" ht="14.25" customHeight="1">
      <c r="A195" s="972"/>
      <c r="B195" s="968"/>
      <c r="C195" s="970"/>
      <c r="D195" s="1005"/>
      <c r="E195" s="972"/>
      <c r="F195" s="972"/>
      <c r="G195" s="968"/>
      <c r="H195" s="403">
        <v>7634921</v>
      </c>
      <c r="I195" s="403">
        <v>225000</v>
      </c>
      <c r="J195" s="967"/>
      <c r="K195" s="967"/>
      <c r="L195" s="965"/>
      <c r="M195" s="965"/>
      <c r="N195" s="967"/>
      <c r="O195" s="967"/>
      <c r="P195" s="965"/>
      <c r="Q195" s="965"/>
      <c r="R195" s="967"/>
      <c r="S195" s="965"/>
      <c r="T195" s="965"/>
      <c r="U195" s="967"/>
      <c r="V195" s="965"/>
      <c r="W195" s="965"/>
    </row>
    <row r="196" spans="1:23" s="404" customFormat="1" ht="14.25" customHeight="1">
      <c r="A196" s="972"/>
      <c r="B196" s="968"/>
      <c r="C196" s="970"/>
      <c r="D196" s="1005"/>
      <c r="E196" s="972"/>
      <c r="F196" s="972"/>
      <c r="G196" s="968"/>
      <c r="H196" s="403">
        <v>0</v>
      </c>
      <c r="I196" s="403">
        <v>0</v>
      </c>
      <c r="J196" s="967"/>
      <c r="K196" s="967"/>
      <c r="L196" s="965"/>
      <c r="M196" s="965"/>
      <c r="N196" s="967"/>
      <c r="O196" s="967"/>
      <c r="P196" s="965"/>
      <c r="Q196" s="965"/>
      <c r="R196" s="967"/>
      <c r="S196" s="965"/>
      <c r="T196" s="965"/>
      <c r="U196" s="967"/>
      <c r="V196" s="965"/>
      <c r="W196" s="965"/>
    </row>
    <row r="197" spans="1:23" s="404" customFormat="1" ht="14.25" customHeight="1">
      <c r="A197" s="972">
        <v>36</v>
      </c>
      <c r="B197" s="968" t="s">
        <v>440</v>
      </c>
      <c r="C197" s="970" t="s">
        <v>556</v>
      </c>
      <c r="D197" s="1005" t="s">
        <v>573</v>
      </c>
      <c r="E197" s="972" t="s">
        <v>522</v>
      </c>
      <c r="F197" s="972" t="s">
        <v>523</v>
      </c>
      <c r="G197" s="968" t="s">
        <v>528</v>
      </c>
      <c r="H197" s="403">
        <f>H198+H199+H200+H201</f>
        <v>17017200</v>
      </c>
      <c r="I197" s="403">
        <f>I198+I199+I200+I201</f>
        <v>28000</v>
      </c>
      <c r="J197" s="967">
        <f>K197+N197</f>
        <v>1000000</v>
      </c>
      <c r="K197" s="967">
        <f>L197+M197</f>
        <v>0</v>
      </c>
      <c r="L197" s="965">
        <v>0</v>
      </c>
      <c r="M197" s="965">
        <v>0</v>
      </c>
      <c r="N197" s="967">
        <f>O197+R197+U197</f>
        <v>1000000</v>
      </c>
      <c r="O197" s="967">
        <f>P197+Q197</f>
        <v>0</v>
      </c>
      <c r="P197" s="965">
        <v>0</v>
      </c>
      <c r="Q197" s="965">
        <v>0</v>
      </c>
      <c r="R197" s="967">
        <f>S197+T197</f>
        <v>1000000</v>
      </c>
      <c r="S197" s="965">
        <v>0</v>
      </c>
      <c r="T197" s="965">
        <v>1000000</v>
      </c>
      <c r="U197" s="967">
        <f>V197+W197</f>
        <v>0</v>
      </c>
      <c r="V197" s="965">
        <v>0</v>
      </c>
      <c r="W197" s="965">
        <v>0</v>
      </c>
    </row>
    <row r="198" spans="1:23" s="404" customFormat="1" ht="14.25" customHeight="1">
      <c r="A198" s="972"/>
      <c r="B198" s="968"/>
      <c r="C198" s="970"/>
      <c r="D198" s="1005"/>
      <c r="E198" s="972"/>
      <c r="F198" s="972"/>
      <c r="G198" s="968"/>
      <c r="H198" s="403">
        <v>14464620</v>
      </c>
      <c r="I198" s="403">
        <v>0</v>
      </c>
      <c r="J198" s="967"/>
      <c r="K198" s="967"/>
      <c r="L198" s="965"/>
      <c r="M198" s="965"/>
      <c r="N198" s="967"/>
      <c r="O198" s="967"/>
      <c r="P198" s="965"/>
      <c r="Q198" s="965"/>
      <c r="R198" s="967"/>
      <c r="S198" s="965"/>
      <c r="T198" s="965"/>
      <c r="U198" s="967"/>
      <c r="V198" s="965"/>
      <c r="W198" s="965"/>
    </row>
    <row r="199" spans="1:23" s="404" customFormat="1" ht="14.25" customHeight="1">
      <c r="A199" s="972"/>
      <c r="B199" s="968"/>
      <c r="C199" s="970"/>
      <c r="D199" s="1005"/>
      <c r="E199" s="972"/>
      <c r="F199" s="972"/>
      <c r="G199" s="968"/>
      <c r="H199" s="403">
        <v>0</v>
      </c>
      <c r="I199" s="403">
        <v>0</v>
      </c>
      <c r="J199" s="967"/>
      <c r="K199" s="967"/>
      <c r="L199" s="965"/>
      <c r="M199" s="965"/>
      <c r="N199" s="967"/>
      <c r="O199" s="967"/>
      <c r="P199" s="965"/>
      <c r="Q199" s="965"/>
      <c r="R199" s="967"/>
      <c r="S199" s="965"/>
      <c r="T199" s="965"/>
      <c r="U199" s="967"/>
      <c r="V199" s="965"/>
      <c r="W199" s="965"/>
    </row>
    <row r="200" spans="1:23" s="404" customFormat="1" ht="14.25" customHeight="1">
      <c r="A200" s="972"/>
      <c r="B200" s="968"/>
      <c r="C200" s="970"/>
      <c r="D200" s="1005"/>
      <c r="E200" s="972"/>
      <c r="F200" s="972"/>
      <c r="G200" s="968"/>
      <c r="H200" s="403">
        <v>2552580</v>
      </c>
      <c r="I200" s="403">
        <v>28000</v>
      </c>
      <c r="J200" s="967"/>
      <c r="K200" s="967"/>
      <c r="L200" s="965"/>
      <c r="M200" s="965"/>
      <c r="N200" s="967"/>
      <c r="O200" s="967"/>
      <c r="P200" s="965"/>
      <c r="Q200" s="965"/>
      <c r="R200" s="967"/>
      <c r="S200" s="965"/>
      <c r="T200" s="965"/>
      <c r="U200" s="967"/>
      <c r="V200" s="965"/>
      <c r="W200" s="965"/>
    </row>
    <row r="201" spans="1:23" s="404" customFormat="1" ht="14.25" customHeight="1">
      <c r="A201" s="972"/>
      <c r="B201" s="968"/>
      <c r="C201" s="970"/>
      <c r="D201" s="1005"/>
      <c r="E201" s="972"/>
      <c r="F201" s="972"/>
      <c r="G201" s="968"/>
      <c r="H201" s="403">
        <v>0</v>
      </c>
      <c r="I201" s="403">
        <v>0</v>
      </c>
      <c r="J201" s="967"/>
      <c r="K201" s="967"/>
      <c r="L201" s="965"/>
      <c r="M201" s="965"/>
      <c r="N201" s="967"/>
      <c r="O201" s="967"/>
      <c r="P201" s="965"/>
      <c r="Q201" s="965"/>
      <c r="R201" s="967"/>
      <c r="S201" s="965"/>
      <c r="T201" s="965"/>
      <c r="U201" s="967"/>
      <c r="V201" s="965"/>
      <c r="W201" s="965"/>
    </row>
    <row r="202" spans="1:23" s="404" customFormat="1" ht="14.25" customHeight="1">
      <c r="A202" s="972">
        <v>37</v>
      </c>
      <c r="B202" s="968" t="s">
        <v>440</v>
      </c>
      <c r="C202" s="970" t="s">
        <v>556</v>
      </c>
      <c r="D202" s="1005" t="s">
        <v>574</v>
      </c>
      <c r="E202" s="972" t="s">
        <v>522</v>
      </c>
      <c r="F202" s="972" t="s">
        <v>523</v>
      </c>
      <c r="G202" s="968" t="s">
        <v>560</v>
      </c>
      <c r="H202" s="403">
        <f>H203+H204+H205+H206</f>
        <v>19706274</v>
      </c>
      <c r="I202" s="403">
        <f>I203+I204+I205+I206</f>
        <v>1697131</v>
      </c>
      <c r="J202" s="967">
        <f>K202+N202</f>
        <v>18009143</v>
      </c>
      <c r="K202" s="967">
        <f>L202+M202</f>
        <v>14498371</v>
      </c>
      <c r="L202" s="965">
        <v>43797</v>
      </c>
      <c r="M202" s="965">
        <v>14454574</v>
      </c>
      <c r="N202" s="967">
        <f>O202+R202+U202</f>
        <v>3510772</v>
      </c>
      <c r="O202" s="967">
        <f>P202+Q202</f>
        <v>0</v>
      </c>
      <c r="P202" s="965">
        <v>0</v>
      </c>
      <c r="Q202" s="965">
        <v>0</v>
      </c>
      <c r="R202" s="967">
        <f>S202+T202</f>
        <v>2129242</v>
      </c>
      <c r="S202" s="965">
        <v>7729</v>
      </c>
      <c r="T202" s="965">
        <v>2121513</v>
      </c>
      <c r="U202" s="967">
        <f>V202+W202</f>
        <v>1381530</v>
      </c>
      <c r="V202" s="965">
        <v>0</v>
      </c>
      <c r="W202" s="965">
        <v>1381530</v>
      </c>
    </row>
    <row r="203" spans="1:23" s="404" customFormat="1" ht="14.25" customHeight="1">
      <c r="A203" s="972"/>
      <c r="B203" s="968"/>
      <c r="C203" s="970"/>
      <c r="D203" s="1005"/>
      <c r="E203" s="972"/>
      <c r="F203" s="972"/>
      <c r="G203" s="968"/>
      <c r="H203" s="403">
        <v>15770932</v>
      </c>
      <c r="I203" s="403">
        <v>1272561</v>
      </c>
      <c r="J203" s="967"/>
      <c r="K203" s="967"/>
      <c r="L203" s="965"/>
      <c r="M203" s="965"/>
      <c r="N203" s="967"/>
      <c r="O203" s="967"/>
      <c r="P203" s="965"/>
      <c r="Q203" s="965"/>
      <c r="R203" s="967"/>
      <c r="S203" s="965"/>
      <c r="T203" s="965"/>
      <c r="U203" s="967"/>
      <c r="V203" s="965"/>
      <c r="W203" s="965"/>
    </row>
    <row r="204" spans="1:23" s="404" customFormat="1" ht="14.25" customHeight="1">
      <c r="A204" s="972"/>
      <c r="B204" s="968"/>
      <c r="C204" s="970"/>
      <c r="D204" s="1005"/>
      <c r="E204" s="972"/>
      <c r="F204" s="972"/>
      <c r="G204" s="968"/>
      <c r="H204" s="403">
        <v>0</v>
      </c>
      <c r="I204" s="403">
        <v>0</v>
      </c>
      <c r="J204" s="967"/>
      <c r="K204" s="967"/>
      <c r="L204" s="965"/>
      <c r="M204" s="965"/>
      <c r="N204" s="967"/>
      <c r="O204" s="967"/>
      <c r="P204" s="965"/>
      <c r="Q204" s="965"/>
      <c r="R204" s="967"/>
      <c r="S204" s="965"/>
      <c r="T204" s="965"/>
      <c r="U204" s="967"/>
      <c r="V204" s="965"/>
      <c r="W204" s="965"/>
    </row>
    <row r="205" spans="1:23" s="404" customFormat="1" ht="14.25" customHeight="1">
      <c r="A205" s="972"/>
      <c r="B205" s="968"/>
      <c r="C205" s="970"/>
      <c r="D205" s="1005"/>
      <c r="E205" s="972"/>
      <c r="F205" s="972"/>
      <c r="G205" s="968"/>
      <c r="H205" s="403">
        <v>2553812</v>
      </c>
      <c r="I205" s="403">
        <v>424570</v>
      </c>
      <c r="J205" s="967"/>
      <c r="K205" s="967"/>
      <c r="L205" s="965"/>
      <c r="M205" s="965"/>
      <c r="N205" s="967"/>
      <c r="O205" s="967"/>
      <c r="P205" s="965"/>
      <c r="Q205" s="965"/>
      <c r="R205" s="967"/>
      <c r="S205" s="965"/>
      <c r="T205" s="965"/>
      <c r="U205" s="967"/>
      <c r="V205" s="965"/>
      <c r="W205" s="965"/>
    </row>
    <row r="206" spans="1:23" s="404" customFormat="1" ht="14.25" customHeight="1">
      <c r="A206" s="972"/>
      <c r="B206" s="968"/>
      <c r="C206" s="970"/>
      <c r="D206" s="1005"/>
      <c r="E206" s="972"/>
      <c r="F206" s="972"/>
      <c r="G206" s="968"/>
      <c r="H206" s="403">
        <v>1381530</v>
      </c>
      <c r="I206" s="403">
        <v>0</v>
      </c>
      <c r="J206" s="967"/>
      <c r="K206" s="967"/>
      <c r="L206" s="965"/>
      <c r="M206" s="965"/>
      <c r="N206" s="967"/>
      <c r="O206" s="967"/>
      <c r="P206" s="965"/>
      <c r="Q206" s="965"/>
      <c r="R206" s="967"/>
      <c r="S206" s="965"/>
      <c r="T206" s="965"/>
      <c r="U206" s="967"/>
      <c r="V206" s="965"/>
      <c r="W206" s="965"/>
    </row>
    <row r="207" spans="1:23" s="404" customFormat="1" ht="14.25" customHeight="1">
      <c r="A207" s="972">
        <v>38</v>
      </c>
      <c r="B207" s="968" t="s">
        <v>575</v>
      </c>
      <c r="C207" s="970" t="s">
        <v>576</v>
      </c>
      <c r="D207" s="1005" t="s">
        <v>577</v>
      </c>
      <c r="E207" s="972" t="s">
        <v>502</v>
      </c>
      <c r="F207" s="972" t="s">
        <v>578</v>
      </c>
      <c r="G207" s="968" t="s">
        <v>524</v>
      </c>
      <c r="H207" s="403">
        <f>H208+H209+H210+H211</f>
        <v>5171992</v>
      </c>
      <c r="I207" s="403">
        <f>I208+I209+I210+I211</f>
        <v>342175</v>
      </c>
      <c r="J207" s="967">
        <f>K207+N207</f>
        <v>4829817</v>
      </c>
      <c r="K207" s="967">
        <f>L207+M207</f>
        <v>4105346</v>
      </c>
      <c r="L207" s="965">
        <v>205851</v>
      </c>
      <c r="M207" s="965">
        <v>3899495</v>
      </c>
      <c r="N207" s="967">
        <f>O207+R207+U207</f>
        <v>724471</v>
      </c>
      <c r="O207" s="967">
        <f>P207+Q207</f>
        <v>0</v>
      </c>
      <c r="P207" s="965">
        <v>0</v>
      </c>
      <c r="Q207" s="965">
        <v>0</v>
      </c>
      <c r="R207" s="967">
        <f>S207+T207</f>
        <v>724471</v>
      </c>
      <c r="S207" s="965">
        <v>36325</v>
      </c>
      <c r="T207" s="965">
        <v>688146</v>
      </c>
      <c r="U207" s="967">
        <f>V207+W207</f>
        <v>0</v>
      </c>
      <c r="V207" s="965">
        <v>0</v>
      </c>
      <c r="W207" s="965">
        <v>0</v>
      </c>
    </row>
    <row r="208" spans="1:23" s="404" customFormat="1" ht="14.25" customHeight="1">
      <c r="A208" s="972"/>
      <c r="B208" s="968"/>
      <c r="C208" s="970"/>
      <c r="D208" s="1005"/>
      <c r="E208" s="972"/>
      <c r="F208" s="972"/>
      <c r="G208" s="968"/>
      <c r="H208" s="403">
        <v>4396194</v>
      </c>
      <c r="I208" s="403">
        <v>290848</v>
      </c>
      <c r="J208" s="967"/>
      <c r="K208" s="967"/>
      <c r="L208" s="965"/>
      <c r="M208" s="965"/>
      <c r="N208" s="967"/>
      <c r="O208" s="967"/>
      <c r="P208" s="965"/>
      <c r="Q208" s="965"/>
      <c r="R208" s="967"/>
      <c r="S208" s="965"/>
      <c r="T208" s="965"/>
      <c r="U208" s="967"/>
      <c r="V208" s="965"/>
      <c r="W208" s="965"/>
    </row>
    <row r="209" spans="1:23" s="404" customFormat="1" ht="14.25" customHeight="1">
      <c r="A209" s="972"/>
      <c r="B209" s="968"/>
      <c r="C209" s="970"/>
      <c r="D209" s="1005"/>
      <c r="E209" s="972"/>
      <c r="F209" s="972"/>
      <c r="G209" s="968"/>
      <c r="H209" s="403">
        <v>0</v>
      </c>
      <c r="I209" s="403">
        <v>0</v>
      </c>
      <c r="J209" s="967"/>
      <c r="K209" s="967"/>
      <c r="L209" s="965"/>
      <c r="M209" s="965"/>
      <c r="N209" s="967"/>
      <c r="O209" s="967"/>
      <c r="P209" s="965"/>
      <c r="Q209" s="965"/>
      <c r="R209" s="967"/>
      <c r="S209" s="965"/>
      <c r="T209" s="965"/>
      <c r="U209" s="967"/>
      <c r="V209" s="965"/>
      <c r="W209" s="965"/>
    </row>
    <row r="210" spans="1:23" s="404" customFormat="1" ht="14.25" customHeight="1">
      <c r="A210" s="972"/>
      <c r="B210" s="968"/>
      <c r="C210" s="970"/>
      <c r="D210" s="1005"/>
      <c r="E210" s="972"/>
      <c r="F210" s="972"/>
      <c r="G210" s="968"/>
      <c r="H210" s="403">
        <v>775798</v>
      </c>
      <c r="I210" s="403">
        <v>51327</v>
      </c>
      <c r="J210" s="967"/>
      <c r="K210" s="967"/>
      <c r="L210" s="965"/>
      <c r="M210" s="965"/>
      <c r="N210" s="967"/>
      <c r="O210" s="967"/>
      <c r="P210" s="965"/>
      <c r="Q210" s="965"/>
      <c r="R210" s="967"/>
      <c r="S210" s="965"/>
      <c r="T210" s="965"/>
      <c r="U210" s="967"/>
      <c r="V210" s="965"/>
      <c r="W210" s="965"/>
    </row>
    <row r="211" spans="1:23" s="404" customFormat="1" ht="14.25" customHeight="1">
      <c r="A211" s="972"/>
      <c r="B211" s="968"/>
      <c r="C211" s="970"/>
      <c r="D211" s="1005"/>
      <c r="E211" s="972"/>
      <c r="F211" s="972"/>
      <c r="G211" s="968"/>
      <c r="H211" s="403">
        <v>0</v>
      </c>
      <c r="I211" s="403">
        <v>0</v>
      </c>
      <c r="J211" s="967"/>
      <c r="K211" s="967"/>
      <c r="L211" s="965"/>
      <c r="M211" s="965"/>
      <c r="N211" s="967"/>
      <c r="O211" s="967"/>
      <c r="P211" s="965"/>
      <c r="Q211" s="965"/>
      <c r="R211" s="967"/>
      <c r="S211" s="965"/>
      <c r="T211" s="965"/>
      <c r="U211" s="967"/>
      <c r="V211" s="965"/>
      <c r="W211" s="965"/>
    </row>
    <row r="212" spans="1:23" s="404" customFormat="1" ht="14.25" customHeight="1">
      <c r="A212" s="972">
        <v>39</v>
      </c>
      <c r="B212" s="968" t="s">
        <v>579</v>
      </c>
      <c r="C212" s="970" t="s">
        <v>78</v>
      </c>
      <c r="D212" s="1005" t="s">
        <v>580</v>
      </c>
      <c r="E212" s="972" t="s">
        <v>502</v>
      </c>
      <c r="F212" s="972" t="s">
        <v>578</v>
      </c>
      <c r="G212" s="968" t="s">
        <v>560</v>
      </c>
      <c r="H212" s="403">
        <f>H213+H214+H215+H216</f>
        <v>3868388</v>
      </c>
      <c r="I212" s="403">
        <f>I213+I214+I215+I216</f>
        <v>2673347</v>
      </c>
      <c r="J212" s="967">
        <f>K212+N212</f>
        <v>1195041</v>
      </c>
      <c r="K212" s="967">
        <f>L212+M212</f>
        <v>921668</v>
      </c>
      <c r="L212" s="965">
        <v>60741</v>
      </c>
      <c r="M212" s="965">
        <v>860927</v>
      </c>
      <c r="N212" s="967">
        <f>O212+R212+U212</f>
        <v>273373</v>
      </c>
      <c r="O212" s="967">
        <f>P212+Q212</f>
        <v>0</v>
      </c>
      <c r="P212" s="965">
        <v>0</v>
      </c>
      <c r="Q212" s="965">
        <v>0</v>
      </c>
      <c r="R212" s="967">
        <f>S212+T212</f>
        <v>273373</v>
      </c>
      <c r="S212" s="965">
        <v>10719</v>
      </c>
      <c r="T212" s="965">
        <v>262654</v>
      </c>
      <c r="U212" s="967">
        <f>V212+W212</f>
        <v>0</v>
      </c>
      <c r="V212" s="965">
        <v>0</v>
      </c>
      <c r="W212" s="965">
        <v>0</v>
      </c>
    </row>
    <row r="213" spans="1:23" s="404" customFormat="1" ht="14.25" customHeight="1">
      <c r="A213" s="972"/>
      <c r="B213" s="968"/>
      <c r="C213" s="970"/>
      <c r="D213" s="1005"/>
      <c r="E213" s="972"/>
      <c r="F213" s="972"/>
      <c r="G213" s="968"/>
      <c r="H213" s="403">
        <v>3029799</v>
      </c>
      <c r="I213" s="403">
        <v>2108131</v>
      </c>
      <c r="J213" s="967"/>
      <c r="K213" s="967"/>
      <c r="L213" s="965"/>
      <c r="M213" s="965"/>
      <c r="N213" s="967"/>
      <c r="O213" s="967"/>
      <c r="P213" s="965"/>
      <c r="Q213" s="965"/>
      <c r="R213" s="967"/>
      <c r="S213" s="965"/>
      <c r="T213" s="965"/>
      <c r="U213" s="967"/>
      <c r="V213" s="965"/>
      <c r="W213" s="965"/>
    </row>
    <row r="214" spans="1:23" s="404" customFormat="1" ht="14.25" customHeight="1">
      <c r="A214" s="972"/>
      <c r="B214" s="968"/>
      <c r="C214" s="970"/>
      <c r="D214" s="1005"/>
      <c r="E214" s="972"/>
      <c r="F214" s="972"/>
      <c r="G214" s="968"/>
      <c r="H214" s="403">
        <v>0</v>
      </c>
      <c r="I214" s="403">
        <v>0</v>
      </c>
      <c r="J214" s="967"/>
      <c r="K214" s="967"/>
      <c r="L214" s="965"/>
      <c r="M214" s="965"/>
      <c r="N214" s="967"/>
      <c r="O214" s="967"/>
      <c r="P214" s="965"/>
      <c r="Q214" s="965"/>
      <c r="R214" s="967"/>
      <c r="S214" s="965"/>
      <c r="T214" s="965"/>
      <c r="U214" s="967"/>
      <c r="V214" s="965"/>
      <c r="W214" s="965"/>
    </row>
    <row r="215" spans="1:23" s="404" customFormat="1" ht="14.25" customHeight="1">
      <c r="A215" s="972"/>
      <c r="B215" s="968"/>
      <c r="C215" s="970"/>
      <c r="D215" s="1005"/>
      <c r="E215" s="972"/>
      <c r="F215" s="972"/>
      <c r="G215" s="968"/>
      <c r="H215" s="403">
        <v>838589</v>
      </c>
      <c r="I215" s="403">
        <v>565216</v>
      </c>
      <c r="J215" s="967"/>
      <c r="K215" s="967"/>
      <c r="L215" s="965"/>
      <c r="M215" s="965"/>
      <c r="N215" s="967"/>
      <c r="O215" s="967"/>
      <c r="P215" s="965"/>
      <c r="Q215" s="965"/>
      <c r="R215" s="967"/>
      <c r="S215" s="965"/>
      <c r="T215" s="965"/>
      <c r="U215" s="967"/>
      <c r="V215" s="965"/>
      <c r="W215" s="965"/>
    </row>
    <row r="216" spans="1:23" s="404" customFormat="1" ht="14.25" customHeight="1">
      <c r="A216" s="972"/>
      <c r="B216" s="968"/>
      <c r="C216" s="970"/>
      <c r="D216" s="1005"/>
      <c r="E216" s="972"/>
      <c r="F216" s="972"/>
      <c r="G216" s="968"/>
      <c r="H216" s="403">
        <v>0</v>
      </c>
      <c r="I216" s="403">
        <v>0</v>
      </c>
      <c r="J216" s="967"/>
      <c r="K216" s="967"/>
      <c r="L216" s="965"/>
      <c r="M216" s="965"/>
      <c r="N216" s="967"/>
      <c r="O216" s="967"/>
      <c r="P216" s="965"/>
      <c r="Q216" s="965"/>
      <c r="R216" s="967"/>
      <c r="S216" s="965"/>
      <c r="T216" s="965"/>
      <c r="U216" s="967"/>
      <c r="V216" s="965"/>
      <c r="W216" s="965"/>
    </row>
    <row r="217" spans="1:23" s="404" customFormat="1" ht="14.25" customHeight="1">
      <c r="A217" s="972">
        <v>40</v>
      </c>
      <c r="B217" s="968" t="s">
        <v>579</v>
      </c>
      <c r="C217" s="970" t="s">
        <v>78</v>
      </c>
      <c r="D217" s="1005" t="s">
        <v>581</v>
      </c>
      <c r="E217" s="972" t="s">
        <v>502</v>
      </c>
      <c r="F217" s="972" t="s">
        <v>578</v>
      </c>
      <c r="G217" s="968" t="s">
        <v>528</v>
      </c>
      <c r="H217" s="403">
        <f>H218+H219+H220+H221</f>
        <v>20671478</v>
      </c>
      <c r="I217" s="403">
        <f>I218+I219+I220+I221</f>
        <v>450840</v>
      </c>
      <c r="J217" s="967">
        <f>K217+N217</f>
        <v>13442434</v>
      </c>
      <c r="K217" s="967">
        <f>L217+M217</f>
        <v>6101571</v>
      </c>
      <c r="L217" s="965">
        <v>349601</v>
      </c>
      <c r="M217" s="965">
        <v>5751970</v>
      </c>
      <c r="N217" s="967">
        <f>O217+R217+U217</f>
        <v>7340863</v>
      </c>
      <c r="O217" s="967">
        <f>P217+Q217</f>
        <v>0</v>
      </c>
      <c r="P217" s="965">
        <v>0</v>
      </c>
      <c r="Q217" s="965">
        <v>0</v>
      </c>
      <c r="R217" s="967">
        <f>S217+T217</f>
        <v>7340863</v>
      </c>
      <c r="S217" s="965">
        <v>61694</v>
      </c>
      <c r="T217" s="965">
        <v>7279169</v>
      </c>
      <c r="U217" s="967">
        <f>V217+W217</f>
        <v>0</v>
      </c>
      <c r="V217" s="965">
        <v>0</v>
      </c>
      <c r="W217" s="965">
        <v>0</v>
      </c>
    </row>
    <row r="218" spans="1:23" s="404" customFormat="1" ht="14.25" customHeight="1">
      <c r="A218" s="972"/>
      <c r="B218" s="968"/>
      <c r="C218" s="970"/>
      <c r="D218" s="1005"/>
      <c r="E218" s="972"/>
      <c r="F218" s="972"/>
      <c r="G218" s="968"/>
      <c r="H218" s="403">
        <v>7574932</v>
      </c>
      <c r="I218" s="403">
        <v>261095</v>
      </c>
      <c r="J218" s="967"/>
      <c r="K218" s="967"/>
      <c r="L218" s="965"/>
      <c r="M218" s="965"/>
      <c r="N218" s="967"/>
      <c r="O218" s="967"/>
      <c r="P218" s="965"/>
      <c r="Q218" s="965"/>
      <c r="R218" s="967"/>
      <c r="S218" s="965"/>
      <c r="T218" s="965"/>
      <c r="U218" s="967"/>
      <c r="V218" s="965"/>
      <c r="W218" s="965"/>
    </row>
    <row r="219" spans="1:23" s="404" customFormat="1" ht="14.25" customHeight="1">
      <c r="A219" s="972"/>
      <c r="B219" s="968"/>
      <c r="C219" s="970"/>
      <c r="D219" s="1005"/>
      <c r="E219" s="972"/>
      <c r="F219" s="972"/>
      <c r="G219" s="968"/>
      <c r="H219" s="403">
        <v>0</v>
      </c>
      <c r="I219" s="403">
        <v>0</v>
      </c>
      <c r="J219" s="967"/>
      <c r="K219" s="967"/>
      <c r="L219" s="965"/>
      <c r="M219" s="965"/>
      <c r="N219" s="967"/>
      <c r="O219" s="967"/>
      <c r="P219" s="965"/>
      <c r="Q219" s="965"/>
      <c r="R219" s="967"/>
      <c r="S219" s="965"/>
      <c r="T219" s="965"/>
      <c r="U219" s="967"/>
      <c r="V219" s="965"/>
      <c r="W219" s="965"/>
    </row>
    <row r="220" spans="1:23" s="404" customFormat="1" ht="14.25" customHeight="1">
      <c r="A220" s="972"/>
      <c r="B220" s="968"/>
      <c r="C220" s="970"/>
      <c r="D220" s="1005"/>
      <c r="E220" s="972"/>
      <c r="F220" s="972"/>
      <c r="G220" s="968"/>
      <c r="H220" s="403">
        <v>13096546</v>
      </c>
      <c r="I220" s="403">
        <v>189745</v>
      </c>
      <c r="J220" s="967"/>
      <c r="K220" s="967"/>
      <c r="L220" s="965"/>
      <c r="M220" s="965"/>
      <c r="N220" s="967"/>
      <c r="O220" s="967"/>
      <c r="P220" s="965"/>
      <c r="Q220" s="965"/>
      <c r="R220" s="967"/>
      <c r="S220" s="965"/>
      <c r="T220" s="965"/>
      <c r="U220" s="967"/>
      <c r="V220" s="965"/>
      <c r="W220" s="965"/>
    </row>
    <row r="221" spans="1:23" s="404" customFormat="1" ht="14.25" customHeight="1">
      <c r="A221" s="972"/>
      <c r="B221" s="968"/>
      <c r="C221" s="970"/>
      <c r="D221" s="1005"/>
      <c r="E221" s="972"/>
      <c r="F221" s="972"/>
      <c r="G221" s="968"/>
      <c r="H221" s="403">
        <v>0</v>
      </c>
      <c r="I221" s="403">
        <v>0</v>
      </c>
      <c r="J221" s="967"/>
      <c r="K221" s="967"/>
      <c r="L221" s="965"/>
      <c r="M221" s="965"/>
      <c r="N221" s="967"/>
      <c r="O221" s="967"/>
      <c r="P221" s="965"/>
      <c r="Q221" s="965"/>
      <c r="R221" s="967"/>
      <c r="S221" s="965"/>
      <c r="T221" s="965"/>
      <c r="U221" s="967"/>
      <c r="V221" s="965"/>
      <c r="W221" s="965"/>
    </row>
    <row r="222" spans="1:23" s="404" customFormat="1" ht="14.25" customHeight="1">
      <c r="A222" s="972">
        <v>41</v>
      </c>
      <c r="B222" s="968" t="s">
        <v>579</v>
      </c>
      <c r="C222" s="970" t="s">
        <v>78</v>
      </c>
      <c r="D222" s="1005" t="s">
        <v>582</v>
      </c>
      <c r="E222" s="972" t="s">
        <v>502</v>
      </c>
      <c r="F222" s="972" t="s">
        <v>578</v>
      </c>
      <c r="G222" s="968" t="s">
        <v>518</v>
      </c>
      <c r="H222" s="403">
        <f>H223+H224+H225+H226</f>
        <v>8289905</v>
      </c>
      <c r="I222" s="403">
        <f>I223+I224+I225+I226</f>
        <v>222997</v>
      </c>
      <c r="J222" s="967">
        <f>K222+N222</f>
        <v>4358029</v>
      </c>
      <c r="K222" s="967">
        <f>L222+M222</f>
        <v>3704324</v>
      </c>
      <c r="L222" s="965">
        <v>329352</v>
      </c>
      <c r="M222" s="965">
        <v>3374972</v>
      </c>
      <c r="N222" s="967">
        <f>O222+R222+U222</f>
        <v>653705</v>
      </c>
      <c r="O222" s="967">
        <f>P222+Q222</f>
        <v>0</v>
      </c>
      <c r="P222" s="965">
        <v>0</v>
      </c>
      <c r="Q222" s="965">
        <v>0</v>
      </c>
      <c r="R222" s="967">
        <f>S222+T222</f>
        <v>653705</v>
      </c>
      <c r="S222" s="965">
        <v>58121</v>
      </c>
      <c r="T222" s="965">
        <v>595584</v>
      </c>
      <c r="U222" s="967">
        <f>V222+W222</f>
        <v>0</v>
      </c>
      <c r="V222" s="965">
        <v>0</v>
      </c>
      <c r="W222" s="965">
        <v>0</v>
      </c>
    </row>
    <row r="223" spans="1:23" s="404" customFormat="1" ht="14.25" customHeight="1">
      <c r="A223" s="972"/>
      <c r="B223" s="968"/>
      <c r="C223" s="970"/>
      <c r="D223" s="1005"/>
      <c r="E223" s="972"/>
      <c r="F223" s="972"/>
      <c r="G223" s="968"/>
      <c r="H223" s="403">
        <v>7046418</v>
      </c>
      <c r="I223" s="403">
        <v>189547</v>
      </c>
      <c r="J223" s="967"/>
      <c r="K223" s="967"/>
      <c r="L223" s="965"/>
      <c r="M223" s="965"/>
      <c r="N223" s="967"/>
      <c r="O223" s="967"/>
      <c r="P223" s="965"/>
      <c r="Q223" s="965"/>
      <c r="R223" s="967"/>
      <c r="S223" s="965"/>
      <c r="T223" s="965"/>
      <c r="U223" s="967"/>
      <c r="V223" s="965"/>
      <c r="W223" s="965"/>
    </row>
    <row r="224" spans="1:23" s="404" customFormat="1" ht="14.25" customHeight="1">
      <c r="A224" s="972"/>
      <c r="B224" s="968"/>
      <c r="C224" s="970"/>
      <c r="D224" s="1005"/>
      <c r="E224" s="972"/>
      <c r="F224" s="972"/>
      <c r="G224" s="968"/>
      <c r="H224" s="403">
        <v>0</v>
      </c>
      <c r="I224" s="403">
        <v>0</v>
      </c>
      <c r="J224" s="967"/>
      <c r="K224" s="967"/>
      <c r="L224" s="965"/>
      <c r="M224" s="965"/>
      <c r="N224" s="967"/>
      <c r="O224" s="967"/>
      <c r="P224" s="965"/>
      <c r="Q224" s="965"/>
      <c r="R224" s="967"/>
      <c r="S224" s="965"/>
      <c r="T224" s="965"/>
      <c r="U224" s="967"/>
      <c r="V224" s="965"/>
      <c r="W224" s="965"/>
    </row>
    <row r="225" spans="1:23" s="404" customFormat="1" ht="14.25" customHeight="1">
      <c r="A225" s="972"/>
      <c r="B225" s="968"/>
      <c r="C225" s="970"/>
      <c r="D225" s="1005"/>
      <c r="E225" s="972"/>
      <c r="F225" s="972"/>
      <c r="G225" s="968"/>
      <c r="H225" s="403">
        <v>1243487</v>
      </c>
      <c r="I225" s="403">
        <v>33450</v>
      </c>
      <c r="J225" s="967"/>
      <c r="K225" s="967"/>
      <c r="L225" s="965"/>
      <c r="M225" s="965"/>
      <c r="N225" s="967"/>
      <c r="O225" s="967"/>
      <c r="P225" s="965"/>
      <c r="Q225" s="965"/>
      <c r="R225" s="967"/>
      <c r="S225" s="965"/>
      <c r="T225" s="965"/>
      <c r="U225" s="967"/>
      <c r="V225" s="965"/>
      <c r="W225" s="965"/>
    </row>
    <row r="226" spans="1:23" s="404" customFormat="1" ht="14.25" customHeight="1">
      <c r="A226" s="972"/>
      <c r="B226" s="968"/>
      <c r="C226" s="970"/>
      <c r="D226" s="1005"/>
      <c r="E226" s="972"/>
      <c r="F226" s="972"/>
      <c r="G226" s="968"/>
      <c r="H226" s="403">
        <v>0</v>
      </c>
      <c r="I226" s="403">
        <v>0</v>
      </c>
      <c r="J226" s="967"/>
      <c r="K226" s="967"/>
      <c r="L226" s="965"/>
      <c r="M226" s="965"/>
      <c r="N226" s="967"/>
      <c r="O226" s="967"/>
      <c r="P226" s="965"/>
      <c r="Q226" s="965"/>
      <c r="R226" s="967"/>
      <c r="S226" s="965"/>
      <c r="T226" s="965"/>
      <c r="U226" s="967"/>
      <c r="V226" s="965"/>
      <c r="W226" s="965"/>
    </row>
    <row r="227" spans="1:23" s="404" customFormat="1" ht="12.75" customHeight="1">
      <c r="A227" s="972">
        <v>42</v>
      </c>
      <c r="B227" s="968" t="s">
        <v>579</v>
      </c>
      <c r="C227" s="970" t="s">
        <v>78</v>
      </c>
      <c r="D227" s="1005" t="s">
        <v>583</v>
      </c>
      <c r="E227" s="972" t="s">
        <v>502</v>
      </c>
      <c r="F227" s="972" t="s">
        <v>584</v>
      </c>
      <c r="G227" s="968" t="s">
        <v>528</v>
      </c>
      <c r="H227" s="403">
        <f>H228+H229+H230+H231</f>
        <v>14591564</v>
      </c>
      <c r="I227" s="403">
        <f>I228+I229+I230+I231</f>
        <v>80000</v>
      </c>
      <c r="J227" s="967">
        <f>K227+N227</f>
        <v>5303135</v>
      </c>
      <c r="K227" s="967">
        <f>L227+M227</f>
        <v>4507665</v>
      </c>
      <c r="L227" s="965">
        <v>199865</v>
      </c>
      <c r="M227" s="965">
        <v>4307800</v>
      </c>
      <c r="N227" s="967">
        <f>O227+R227+U227</f>
        <v>795470</v>
      </c>
      <c r="O227" s="967">
        <f>P227+Q227</f>
        <v>0</v>
      </c>
      <c r="P227" s="965">
        <v>0</v>
      </c>
      <c r="Q227" s="965">
        <v>0</v>
      </c>
      <c r="R227" s="967">
        <f>S227+T227</f>
        <v>795470</v>
      </c>
      <c r="S227" s="965">
        <v>35270</v>
      </c>
      <c r="T227" s="965">
        <v>760200</v>
      </c>
      <c r="U227" s="967">
        <f>V227+W227</f>
        <v>0</v>
      </c>
      <c r="V227" s="965">
        <v>0</v>
      </c>
      <c r="W227" s="965">
        <v>0</v>
      </c>
    </row>
    <row r="228" spans="1:23" s="404" customFormat="1" ht="12.75" customHeight="1">
      <c r="A228" s="972"/>
      <c r="B228" s="968"/>
      <c r="C228" s="970"/>
      <c r="D228" s="1005"/>
      <c r="E228" s="972"/>
      <c r="F228" s="972"/>
      <c r="G228" s="968"/>
      <c r="H228" s="403">
        <v>12402830</v>
      </c>
      <c r="I228" s="403">
        <v>68000</v>
      </c>
      <c r="J228" s="967"/>
      <c r="K228" s="967"/>
      <c r="L228" s="965"/>
      <c r="M228" s="965"/>
      <c r="N228" s="967"/>
      <c r="O228" s="967"/>
      <c r="P228" s="965"/>
      <c r="Q228" s="965"/>
      <c r="R228" s="967"/>
      <c r="S228" s="965"/>
      <c r="T228" s="965"/>
      <c r="U228" s="967"/>
      <c r="V228" s="965"/>
      <c r="W228" s="965"/>
    </row>
    <row r="229" spans="1:23" s="404" customFormat="1" ht="12.75" customHeight="1">
      <c r="A229" s="972"/>
      <c r="B229" s="968"/>
      <c r="C229" s="970"/>
      <c r="D229" s="1005"/>
      <c r="E229" s="972"/>
      <c r="F229" s="972"/>
      <c r="G229" s="968"/>
      <c r="H229" s="403">
        <v>0</v>
      </c>
      <c r="I229" s="403">
        <v>0</v>
      </c>
      <c r="J229" s="967"/>
      <c r="K229" s="967"/>
      <c r="L229" s="965"/>
      <c r="M229" s="965"/>
      <c r="N229" s="967"/>
      <c r="O229" s="967"/>
      <c r="P229" s="965"/>
      <c r="Q229" s="965"/>
      <c r="R229" s="967"/>
      <c r="S229" s="965"/>
      <c r="T229" s="965"/>
      <c r="U229" s="967"/>
      <c r="V229" s="965"/>
      <c r="W229" s="965"/>
    </row>
    <row r="230" spans="1:23" s="404" customFormat="1" ht="12.75" customHeight="1">
      <c r="A230" s="972"/>
      <c r="B230" s="968"/>
      <c r="C230" s="970"/>
      <c r="D230" s="1005"/>
      <c r="E230" s="972"/>
      <c r="F230" s="972"/>
      <c r="G230" s="968"/>
      <c r="H230" s="403">
        <v>2188734</v>
      </c>
      <c r="I230" s="403">
        <v>12000</v>
      </c>
      <c r="J230" s="967"/>
      <c r="K230" s="967"/>
      <c r="L230" s="965"/>
      <c r="M230" s="965"/>
      <c r="N230" s="967"/>
      <c r="O230" s="967"/>
      <c r="P230" s="965"/>
      <c r="Q230" s="965"/>
      <c r="R230" s="967"/>
      <c r="S230" s="965"/>
      <c r="T230" s="965"/>
      <c r="U230" s="967"/>
      <c r="V230" s="965"/>
      <c r="W230" s="965"/>
    </row>
    <row r="231" spans="1:23" s="404" customFormat="1" ht="12.75" customHeight="1">
      <c r="A231" s="972"/>
      <c r="B231" s="968"/>
      <c r="C231" s="970"/>
      <c r="D231" s="1005"/>
      <c r="E231" s="972"/>
      <c r="F231" s="972"/>
      <c r="G231" s="968"/>
      <c r="H231" s="403">
        <v>0</v>
      </c>
      <c r="I231" s="403">
        <v>0</v>
      </c>
      <c r="J231" s="967"/>
      <c r="K231" s="967"/>
      <c r="L231" s="965"/>
      <c r="M231" s="965"/>
      <c r="N231" s="967"/>
      <c r="O231" s="967"/>
      <c r="P231" s="965"/>
      <c r="Q231" s="965"/>
      <c r="R231" s="967"/>
      <c r="S231" s="965"/>
      <c r="T231" s="965"/>
      <c r="U231" s="967"/>
      <c r="V231" s="965"/>
      <c r="W231" s="965"/>
    </row>
    <row r="232" spans="1:23" s="404" customFormat="1" ht="14.25" customHeight="1">
      <c r="A232" s="972">
        <v>43</v>
      </c>
      <c r="B232" s="968" t="s">
        <v>579</v>
      </c>
      <c r="C232" s="970" t="s">
        <v>78</v>
      </c>
      <c r="D232" s="1005" t="s">
        <v>585</v>
      </c>
      <c r="E232" s="972" t="s">
        <v>502</v>
      </c>
      <c r="F232" s="972" t="s">
        <v>586</v>
      </c>
      <c r="G232" s="968" t="s">
        <v>507</v>
      </c>
      <c r="H232" s="403">
        <f>H233+H234+H235+H236</f>
        <v>25954808</v>
      </c>
      <c r="I232" s="403">
        <f>I233+I234+I235+I236</f>
        <v>115000</v>
      </c>
      <c r="J232" s="967">
        <f>K232+N232</f>
        <v>2001959</v>
      </c>
      <c r="K232" s="967">
        <f>L232+M232</f>
        <v>1073888</v>
      </c>
      <c r="L232" s="965">
        <v>426665</v>
      </c>
      <c r="M232" s="965">
        <v>647223</v>
      </c>
      <c r="N232" s="967">
        <f>O232+R232+U232</f>
        <v>928071</v>
      </c>
      <c r="O232" s="967">
        <f>P232+Q232</f>
        <v>0</v>
      </c>
      <c r="P232" s="965">
        <v>0</v>
      </c>
      <c r="Q232" s="965">
        <v>0</v>
      </c>
      <c r="R232" s="967">
        <f>S232+T232</f>
        <v>928071</v>
      </c>
      <c r="S232" s="965">
        <v>75294</v>
      </c>
      <c r="T232" s="965">
        <v>852777</v>
      </c>
      <c r="U232" s="967">
        <f>V232+W232</f>
        <v>0</v>
      </c>
      <c r="V232" s="965">
        <v>0</v>
      </c>
      <c r="W232" s="965">
        <v>0</v>
      </c>
    </row>
    <row r="233" spans="1:23" s="404" customFormat="1" ht="14.25" customHeight="1">
      <c r="A233" s="972"/>
      <c r="B233" s="968"/>
      <c r="C233" s="970"/>
      <c r="D233" s="1005"/>
      <c r="E233" s="972"/>
      <c r="F233" s="972"/>
      <c r="G233" s="968"/>
      <c r="H233" s="403">
        <v>11749948</v>
      </c>
      <c r="I233" s="403">
        <v>97750</v>
      </c>
      <c r="J233" s="967"/>
      <c r="K233" s="967"/>
      <c r="L233" s="965"/>
      <c r="M233" s="965"/>
      <c r="N233" s="967"/>
      <c r="O233" s="967"/>
      <c r="P233" s="965"/>
      <c r="Q233" s="965"/>
      <c r="R233" s="967"/>
      <c r="S233" s="965"/>
      <c r="T233" s="965"/>
      <c r="U233" s="967"/>
      <c r="V233" s="965"/>
      <c r="W233" s="965"/>
    </row>
    <row r="234" spans="1:23" s="404" customFormat="1" ht="14.25" customHeight="1">
      <c r="A234" s="972"/>
      <c r="B234" s="968"/>
      <c r="C234" s="970"/>
      <c r="D234" s="1005"/>
      <c r="E234" s="972"/>
      <c r="F234" s="972"/>
      <c r="G234" s="968"/>
      <c r="H234" s="403">
        <v>0</v>
      </c>
      <c r="I234" s="403">
        <v>0</v>
      </c>
      <c r="J234" s="967"/>
      <c r="K234" s="967"/>
      <c r="L234" s="965"/>
      <c r="M234" s="965"/>
      <c r="N234" s="967"/>
      <c r="O234" s="967"/>
      <c r="P234" s="965"/>
      <c r="Q234" s="965"/>
      <c r="R234" s="967"/>
      <c r="S234" s="965"/>
      <c r="T234" s="965"/>
      <c r="U234" s="967"/>
      <c r="V234" s="965"/>
      <c r="W234" s="965"/>
    </row>
    <row r="235" spans="1:23" s="404" customFormat="1" ht="14.25" customHeight="1">
      <c r="A235" s="972"/>
      <c r="B235" s="968"/>
      <c r="C235" s="970"/>
      <c r="D235" s="1005"/>
      <c r="E235" s="972"/>
      <c r="F235" s="972"/>
      <c r="G235" s="968"/>
      <c r="H235" s="403">
        <v>14204860</v>
      </c>
      <c r="I235" s="403">
        <v>17250</v>
      </c>
      <c r="J235" s="967"/>
      <c r="K235" s="967"/>
      <c r="L235" s="965"/>
      <c r="M235" s="965"/>
      <c r="N235" s="967"/>
      <c r="O235" s="967"/>
      <c r="P235" s="965"/>
      <c r="Q235" s="965"/>
      <c r="R235" s="967"/>
      <c r="S235" s="965"/>
      <c r="T235" s="965"/>
      <c r="U235" s="967"/>
      <c r="V235" s="965"/>
      <c r="W235" s="965"/>
    </row>
    <row r="236" spans="1:23" s="404" customFormat="1" ht="14.25" customHeight="1">
      <c r="A236" s="972"/>
      <c r="B236" s="968"/>
      <c r="C236" s="970"/>
      <c r="D236" s="1005"/>
      <c r="E236" s="972"/>
      <c r="F236" s="972"/>
      <c r="G236" s="968"/>
      <c r="H236" s="403">
        <v>0</v>
      </c>
      <c r="I236" s="403">
        <v>0</v>
      </c>
      <c r="J236" s="967"/>
      <c r="K236" s="967"/>
      <c r="L236" s="965"/>
      <c r="M236" s="965"/>
      <c r="N236" s="967"/>
      <c r="O236" s="967"/>
      <c r="P236" s="965"/>
      <c r="Q236" s="965"/>
      <c r="R236" s="967"/>
      <c r="S236" s="965"/>
      <c r="T236" s="965"/>
      <c r="U236" s="967"/>
      <c r="V236" s="965"/>
      <c r="W236" s="965"/>
    </row>
    <row r="237" spans="1:23" s="404" customFormat="1" ht="12.75" customHeight="1">
      <c r="A237" s="972">
        <v>44</v>
      </c>
      <c r="B237" s="968" t="s">
        <v>587</v>
      </c>
      <c r="C237" s="970" t="s">
        <v>588</v>
      </c>
      <c r="D237" s="1005" t="s">
        <v>589</v>
      </c>
      <c r="E237" s="972" t="s">
        <v>590</v>
      </c>
      <c r="F237" s="972" t="s">
        <v>548</v>
      </c>
      <c r="G237" s="968" t="s">
        <v>528</v>
      </c>
      <c r="H237" s="403">
        <f>H238+H239+H240+H241</f>
        <v>3350626</v>
      </c>
      <c r="I237" s="403">
        <f>I238+I239+I240+I241</f>
        <v>68880</v>
      </c>
      <c r="J237" s="967">
        <f>K237+N237</f>
        <v>1096071</v>
      </c>
      <c r="K237" s="967">
        <f>L237+M237</f>
        <v>927594</v>
      </c>
      <c r="L237" s="965">
        <v>47660</v>
      </c>
      <c r="M237" s="965">
        <v>879934</v>
      </c>
      <c r="N237" s="967">
        <f>O237+R237+U237</f>
        <v>168477</v>
      </c>
      <c r="O237" s="967">
        <f>P237+Q237</f>
        <v>0</v>
      </c>
      <c r="P237" s="965">
        <v>0</v>
      </c>
      <c r="Q237" s="965">
        <v>0</v>
      </c>
      <c r="R237" s="967">
        <f>S237+T237</f>
        <v>168477</v>
      </c>
      <c r="S237" s="965">
        <v>8411</v>
      </c>
      <c r="T237" s="965">
        <v>160066</v>
      </c>
      <c r="U237" s="967">
        <f>V237+W237</f>
        <v>0</v>
      </c>
      <c r="V237" s="965">
        <v>0</v>
      </c>
      <c r="W237" s="965">
        <v>0</v>
      </c>
    </row>
    <row r="238" spans="1:23" s="404" customFormat="1" ht="12.75" customHeight="1">
      <c r="A238" s="972"/>
      <c r="B238" s="968"/>
      <c r="C238" s="970"/>
      <c r="D238" s="1005"/>
      <c r="E238" s="972"/>
      <c r="F238" s="972"/>
      <c r="G238" s="968"/>
      <c r="H238" s="403">
        <v>2839143</v>
      </c>
      <c r="I238" s="403">
        <v>58279</v>
      </c>
      <c r="J238" s="967"/>
      <c r="K238" s="967"/>
      <c r="L238" s="965"/>
      <c r="M238" s="965"/>
      <c r="N238" s="967"/>
      <c r="O238" s="967"/>
      <c r="P238" s="965"/>
      <c r="Q238" s="965"/>
      <c r="R238" s="967"/>
      <c r="S238" s="965"/>
      <c r="T238" s="965"/>
      <c r="U238" s="967"/>
      <c r="V238" s="965"/>
      <c r="W238" s="965"/>
    </row>
    <row r="239" spans="1:23" s="404" customFormat="1" ht="12.75" customHeight="1">
      <c r="A239" s="972"/>
      <c r="B239" s="968"/>
      <c r="C239" s="970"/>
      <c r="D239" s="1005"/>
      <c r="E239" s="972"/>
      <c r="F239" s="972"/>
      <c r="G239" s="968"/>
      <c r="H239" s="403">
        <v>0</v>
      </c>
      <c r="I239" s="403">
        <v>0</v>
      </c>
      <c r="J239" s="967"/>
      <c r="K239" s="967"/>
      <c r="L239" s="965"/>
      <c r="M239" s="965"/>
      <c r="N239" s="967"/>
      <c r="O239" s="967"/>
      <c r="P239" s="965"/>
      <c r="Q239" s="965"/>
      <c r="R239" s="967"/>
      <c r="S239" s="965"/>
      <c r="T239" s="965"/>
      <c r="U239" s="967"/>
      <c r="V239" s="965"/>
      <c r="W239" s="965"/>
    </row>
    <row r="240" spans="1:23" s="404" customFormat="1" ht="12.75" customHeight="1">
      <c r="A240" s="972"/>
      <c r="B240" s="968"/>
      <c r="C240" s="970"/>
      <c r="D240" s="1005"/>
      <c r="E240" s="972"/>
      <c r="F240" s="972"/>
      <c r="G240" s="968"/>
      <c r="H240" s="403">
        <v>511483</v>
      </c>
      <c r="I240" s="403">
        <v>10601</v>
      </c>
      <c r="J240" s="967"/>
      <c r="K240" s="967"/>
      <c r="L240" s="965"/>
      <c r="M240" s="965"/>
      <c r="N240" s="967"/>
      <c r="O240" s="967"/>
      <c r="P240" s="965"/>
      <c r="Q240" s="965"/>
      <c r="R240" s="967"/>
      <c r="S240" s="965"/>
      <c r="T240" s="965"/>
      <c r="U240" s="967"/>
      <c r="V240" s="965"/>
      <c r="W240" s="965"/>
    </row>
    <row r="241" spans="1:23" s="404" customFormat="1" ht="12.75" customHeight="1">
      <c r="A241" s="972"/>
      <c r="B241" s="968"/>
      <c r="C241" s="970"/>
      <c r="D241" s="1005"/>
      <c r="E241" s="972"/>
      <c r="F241" s="972"/>
      <c r="G241" s="968"/>
      <c r="H241" s="403">
        <v>0</v>
      </c>
      <c r="I241" s="403">
        <v>0</v>
      </c>
      <c r="J241" s="967"/>
      <c r="K241" s="967"/>
      <c r="L241" s="965"/>
      <c r="M241" s="965"/>
      <c r="N241" s="967"/>
      <c r="O241" s="967"/>
      <c r="P241" s="965"/>
      <c r="Q241" s="965"/>
      <c r="R241" s="967"/>
      <c r="S241" s="965"/>
      <c r="T241" s="965"/>
      <c r="U241" s="967"/>
      <c r="V241" s="965"/>
      <c r="W241" s="965"/>
    </row>
    <row r="242" spans="1:23" s="404" customFormat="1" ht="12.75" customHeight="1">
      <c r="A242" s="972">
        <v>45</v>
      </c>
      <c r="B242" s="968" t="s">
        <v>591</v>
      </c>
      <c r="C242" s="970" t="s">
        <v>592</v>
      </c>
      <c r="D242" s="1005" t="s">
        <v>593</v>
      </c>
      <c r="E242" s="972" t="s">
        <v>502</v>
      </c>
      <c r="F242" s="972" t="s">
        <v>594</v>
      </c>
      <c r="G242" s="968" t="s">
        <v>507</v>
      </c>
      <c r="H242" s="403">
        <f>H243+H244+H245+H246</f>
        <v>1078200</v>
      </c>
      <c r="I242" s="403">
        <f>I243+I244+I245+I246</f>
        <v>281700</v>
      </c>
      <c r="J242" s="967">
        <f>K242+N242</f>
        <v>514800</v>
      </c>
      <c r="K242" s="967">
        <f>L242+M242</f>
        <v>437580</v>
      </c>
      <c r="L242" s="965">
        <v>437580</v>
      </c>
      <c r="M242" s="965">
        <v>0</v>
      </c>
      <c r="N242" s="967">
        <f>O242+R242+U242</f>
        <v>77220</v>
      </c>
      <c r="O242" s="967">
        <f>P242+Q242</f>
        <v>51480</v>
      </c>
      <c r="P242" s="965">
        <v>51480</v>
      </c>
      <c r="Q242" s="965">
        <v>0</v>
      </c>
      <c r="R242" s="967">
        <f>S242+T242</f>
        <v>25740</v>
      </c>
      <c r="S242" s="965">
        <v>25740</v>
      </c>
      <c r="T242" s="965">
        <v>0</v>
      </c>
      <c r="U242" s="967">
        <f>V242+W242</f>
        <v>0</v>
      </c>
      <c r="V242" s="965">
        <v>0</v>
      </c>
      <c r="W242" s="965">
        <v>0</v>
      </c>
    </row>
    <row r="243" spans="1:23" s="404" customFormat="1" ht="12.75" customHeight="1">
      <c r="A243" s="972"/>
      <c r="B243" s="968"/>
      <c r="C243" s="970"/>
      <c r="D243" s="1005"/>
      <c r="E243" s="972"/>
      <c r="F243" s="972"/>
      <c r="G243" s="968"/>
      <c r="H243" s="403">
        <v>916470</v>
      </c>
      <c r="I243" s="403">
        <v>239445</v>
      </c>
      <c r="J243" s="967"/>
      <c r="K243" s="967"/>
      <c r="L243" s="965"/>
      <c r="M243" s="965"/>
      <c r="N243" s="967"/>
      <c r="O243" s="967"/>
      <c r="P243" s="965"/>
      <c r="Q243" s="965"/>
      <c r="R243" s="967"/>
      <c r="S243" s="965"/>
      <c r="T243" s="965"/>
      <c r="U243" s="967"/>
      <c r="V243" s="965"/>
      <c r="W243" s="965"/>
    </row>
    <row r="244" spans="1:23" s="404" customFormat="1" ht="12.75" customHeight="1">
      <c r="A244" s="972"/>
      <c r="B244" s="968"/>
      <c r="C244" s="970"/>
      <c r="D244" s="1005"/>
      <c r="E244" s="972"/>
      <c r="F244" s="972"/>
      <c r="G244" s="968"/>
      <c r="H244" s="403">
        <v>107820</v>
      </c>
      <c r="I244" s="403">
        <v>28170</v>
      </c>
      <c r="J244" s="967"/>
      <c r="K244" s="967"/>
      <c r="L244" s="965"/>
      <c r="M244" s="965"/>
      <c r="N244" s="967"/>
      <c r="O244" s="967"/>
      <c r="P244" s="965"/>
      <c r="Q244" s="965"/>
      <c r="R244" s="967"/>
      <c r="S244" s="965"/>
      <c r="T244" s="965"/>
      <c r="U244" s="967"/>
      <c r="V244" s="965"/>
      <c r="W244" s="965"/>
    </row>
    <row r="245" spans="1:23" s="404" customFormat="1" ht="12.75" customHeight="1">
      <c r="A245" s="972"/>
      <c r="B245" s="968"/>
      <c r="C245" s="970"/>
      <c r="D245" s="1005"/>
      <c r="E245" s="972"/>
      <c r="F245" s="972"/>
      <c r="G245" s="968"/>
      <c r="H245" s="403">
        <v>53910</v>
      </c>
      <c r="I245" s="403">
        <v>14085</v>
      </c>
      <c r="J245" s="967"/>
      <c r="K245" s="967"/>
      <c r="L245" s="965"/>
      <c r="M245" s="965"/>
      <c r="N245" s="967"/>
      <c r="O245" s="967"/>
      <c r="P245" s="965"/>
      <c r="Q245" s="965"/>
      <c r="R245" s="967"/>
      <c r="S245" s="965"/>
      <c r="T245" s="965"/>
      <c r="U245" s="967"/>
      <c r="V245" s="965"/>
      <c r="W245" s="965"/>
    </row>
    <row r="246" spans="1:23" s="404" customFormat="1" ht="12.75" customHeight="1">
      <c r="A246" s="972"/>
      <c r="B246" s="968"/>
      <c r="C246" s="970"/>
      <c r="D246" s="1005"/>
      <c r="E246" s="972"/>
      <c r="F246" s="972"/>
      <c r="G246" s="968"/>
      <c r="H246" s="403">
        <v>0</v>
      </c>
      <c r="I246" s="403">
        <v>0</v>
      </c>
      <c r="J246" s="967"/>
      <c r="K246" s="967"/>
      <c r="L246" s="965"/>
      <c r="M246" s="965"/>
      <c r="N246" s="967"/>
      <c r="O246" s="967"/>
      <c r="P246" s="965"/>
      <c r="Q246" s="965"/>
      <c r="R246" s="967"/>
      <c r="S246" s="965"/>
      <c r="T246" s="965"/>
      <c r="U246" s="967"/>
      <c r="V246" s="965"/>
      <c r="W246" s="965"/>
    </row>
    <row r="247" spans="1:23" s="404" customFormat="1" ht="13.5" customHeight="1">
      <c r="A247" s="972">
        <v>46</v>
      </c>
      <c r="B247" s="991" t="s">
        <v>595</v>
      </c>
      <c r="C247" s="970" t="s">
        <v>596</v>
      </c>
      <c r="D247" s="1002" t="s">
        <v>597</v>
      </c>
      <c r="E247" s="973" t="s">
        <v>598</v>
      </c>
      <c r="F247" s="973" t="s">
        <v>599</v>
      </c>
      <c r="G247" s="991" t="s">
        <v>538</v>
      </c>
      <c r="H247" s="403">
        <f>H248+H249+H250+H251</f>
        <v>4691046</v>
      </c>
      <c r="I247" s="403">
        <f>I248+I249+I250+I251</f>
        <v>602632</v>
      </c>
      <c r="J247" s="967">
        <f>K247+N247</f>
        <v>1458677</v>
      </c>
      <c r="K247" s="967">
        <f>L247+M247</f>
        <v>1305131</v>
      </c>
      <c r="L247" s="965">
        <v>1305131</v>
      </c>
      <c r="M247" s="965">
        <v>0</v>
      </c>
      <c r="N247" s="967">
        <f>O247+R247+U247</f>
        <v>153546</v>
      </c>
      <c r="O247" s="967">
        <f>P247+Q247</f>
        <v>153546</v>
      </c>
      <c r="P247" s="965">
        <v>153546</v>
      </c>
      <c r="Q247" s="965">
        <v>0</v>
      </c>
      <c r="R247" s="967">
        <f>S247+T247</f>
        <v>0</v>
      </c>
      <c r="S247" s="965">
        <v>0</v>
      </c>
      <c r="T247" s="965">
        <v>0</v>
      </c>
      <c r="U247" s="967">
        <f>V247+W247</f>
        <v>0</v>
      </c>
      <c r="V247" s="965">
        <v>0</v>
      </c>
      <c r="W247" s="965">
        <v>0</v>
      </c>
    </row>
    <row r="248" spans="1:23" s="404" customFormat="1" ht="13.5" customHeight="1">
      <c r="A248" s="972"/>
      <c r="B248" s="992"/>
      <c r="C248" s="970"/>
      <c r="D248" s="1003"/>
      <c r="E248" s="974"/>
      <c r="F248" s="974"/>
      <c r="G248" s="992"/>
      <c r="H248" s="403">
        <v>4197251</v>
      </c>
      <c r="I248" s="403">
        <v>539197</v>
      </c>
      <c r="J248" s="967"/>
      <c r="K248" s="967"/>
      <c r="L248" s="965"/>
      <c r="M248" s="965"/>
      <c r="N248" s="967"/>
      <c r="O248" s="967"/>
      <c r="P248" s="965"/>
      <c r="Q248" s="965"/>
      <c r="R248" s="967"/>
      <c r="S248" s="965"/>
      <c r="T248" s="965"/>
      <c r="U248" s="967"/>
      <c r="V248" s="965"/>
      <c r="W248" s="965"/>
    </row>
    <row r="249" spans="1:23" s="404" customFormat="1" ht="13.5" customHeight="1">
      <c r="A249" s="972"/>
      <c r="B249" s="992"/>
      <c r="C249" s="970"/>
      <c r="D249" s="1003"/>
      <c r="E249" s="974"/>
      <c r="F249" s="974"/>
      <c r="G249" s="992"/>
      <c r="H249" s="403">
        <v>493795</v>
      </c>
      <c r="I249" s="403">
        <v>63435</v>
      </c>
      <c r="J249" s="967"/>
      <c r="K249" s="967"/>
      <c r="L249" s="965"/>
      <c r="M249" s="965"/>
      <c r="N249" s="967"/>
      <c r="O249" s="967"/>
      <c r="P249" s="965"/>
      <c r="Q249" s="965"/>
      <c r="R249" s="967"/>
      <c r="S249" s="965"/>
      <c r="T249" s="965"/>
      <c r="U249" s="967"/>
      <c r="V249" s="965"/>
      <c r="W249" s="965"/>
    </row>
    <row r="250" spans="1:23" s="404" customFormat="1" ht="13.5" customHeight="1">
      <c r="A250" s="972"/>
      <c r="B250" s="992"/>
      <c r="C250" s="970"/>
      <c r="D250" s="1003"/>
      <c r="E250" s="974"/>
      <c r="F250" s="974"/>
      <c r="G250" s="992"/>
      <c r="H250" s="403">
        <v>0</v>
      </c>
      <c r="I250" s="403">
        <v>0</v>
      </c>
      <c r="J250" s="967"/>
      <c r="K250" s="967"/>
      <c r="L250" s="965"/>
      <c r="M250" s="965"/>
      <c r="N250" s="967"/>
      <c r="O250" s="967"/>
      <c r="P250" s="965"/>
      <c r="Q250" s="965"/>
      <c r="R250" s="967"/>
      <c r="S250" s="965"/>
      <c r="T250" s="965"/>
      <c r="U250" s="967"/>
      <c r="V250" s="965"/>
      <c r="W250" s="965"/>
    </row>
    <row r="251" spans="1:23" s="404" customFormat="1" ht="13.5" customHeight="1">
      <c r="A251" s="972"/>
      <c r="B251" s="993"/>
      <c r="C251" s="970"/>
      <c r="D251" s="1004"/>
      <c r="E251" s="975"/>
      <c r="F251" s="975"/>
      <c r="G251" s="993"/>
      <c r="H251" s="403">
        <v>0</v>
      </c>
      <c r="I251" s="403">
        <v>0</v>
      </c>
      <c r="J251" s="967"/>
      <c r="K251" s="967"/>
      <c r="L251" s="965"/>
      <c r="M251" s="965"/>
      <c r="N251" s="967"/>
      <c r="O251" s="967"/>
      <c r="P251" s="965"/>
      <c r="Q251" s="965"/>
      <c r="R251" s="967"/>
      <c r="S251" s="965"/>
      <c r="T251" s="965"/>
      <c r="U251" s="967"/>
      <c r="V251" s="965"/>
      <c r="W251" s="965"/>
    </row>
    <row r="252" spans="1:23" s="404" customFormat="1" ht="13.5" customHeight="1">
      <c r="A252" s="972">
        <v>47</v>
      </c>
      <c r="B252" s="991" t="s">
        <v>595</v>
      </c>
      <c r="C252" s="970" t="s">
        <v>596</v>
      </c>
      <c r="D252" s="1002" t="s">
        <v>600</v>
      </c>
      <c r="E252" s="973" t="s">
        <v>598</v>
      </c>
      <c r="F252" s="973" t="s">
        <v>599</v>
      </c>
      <c r="G252" s="991" t="s">
        <v>507</v>
      </c>
      <c r="H252" s="403">
        <f>H253+H254+H255+H256</f>
        <v>7315715</v>
      </c>
      <c r="I252" s="403">
        <f>I253+I254+I255+I256</f>
        <v>1083920</v>
      </c>
      <c r="J252" s="988">
        <f>K252+N252</f>
        <v>3663292</v>
      </c>
      <c r="K252" s="988">
        <f>L252+M252</f>
        <v>3277682</v>
      </c>
      <c r="L252" s="984">
        <v>3277682</v>
      </c>
      <c r="M252" s="984">
        <v>0</v>
      </c>
      <c r="N252" s="988">
        <f>O252+R252+U252</f>
        <v>385610</v>
      </c>
      <c r="O252" s="988">
        <f>P252+Q252</f>
        <v>385610</v>
      </c>
      <c r="P252" s="984">
        <v>385610</v>
      </c>
      <c r="Q252" s="984">
        <v>0</v>
      </c>
      <c r="R252" s="988">
        <f>S252+T252</f>
        <v>0</v>
      </c>
      <c r="S252" s="984">
        <v>0</v>
      </c>
      <c r="T252" s="984">
        <v>0</v>
      </c>
      <c r="U252" s="988">
        <f>V252+W252</f>
        <v>0</v>
      </c>
      <c r="V252" s="984">
        <v>0</v>
      </c>
      <c r="W252" s="984">
        <v>0</v>
      </c>
    </row>
    <row r="253" spans="1:23" s="404" customFormat="1" ht="13.5" customHeight="1">
      <c r="A253" s="972"/>
      <c r="B253" s="992"/>
      <c r="C253" s="970"/>
      <c r="D253" s="1003"/>
      <c r="E253" s="974"/>
      <c r="F253" s="974"/>
      <c r="G253" s="992"/>
      <c r="H253" s="403">
        <v>6545639</v>
      </c>
      <c r="I253" s="403">
        <v>969822</v>
      </c>
      <c r="J253" s="989"/>
      <c r="K253" s="989"/>
      <c r="L253" s="985"/>
      <c r="M253" s="985"/>
      <c r="N253" s="989"/>
      <c r="O253" s="989"/>
      <c r="P253" s="985"/>
      <c r="Q253" s="985"/>
      <c r="R253" s="989"/>
      <c r="S253" s="985"/>
      <c r="T253" s="985"/>
      <c r="U253" s="989"/>
      <c r="V253" s="985"/>
      <c r="W253" s="985"/>
    </row>
    <row r="254" spans="1:23" s="404" customFormat="1" ht="13.5" customHeight="1">
      <c r="A254" s="972"/>
      <c r="B254" s="992"/>
      <c r="C254" s="970"/>
      <c r="D254" s="1003"/>
      <c r="E254" s="974"/>
      <c r="F254" s="974"/>
      <c r="G254" s="992"/>
      <c r="H254" s="403">
        <v>770076</v>
      </c>
      <c r="I254" s="403">
        <v>114098</v>
      </c>
      <c r="J254" s="989"/>
      <c r="K254" s="989"/>
      <c r="L254" s="985"/>
      <c r="M254" s="985"/>
      <c r="N254" s="989"/>
      <c r="O254" s="989"/>
      <c r="P254" s="985"/>
      <c r="Q254" s="985"/>
      <c r="R254" s="989"/>
      <c r="S254" s="985"/>
      <c r="T254" s="985"/>
      <c r="U254" s="989"/>
      <c r="V254" s="985"/>
      <c r="W254" s="985"/>
    </row>
    <row r="255" spans="1:23" s="404" customFormat="1" ht="13.5" customHeight="1">
      <c r="A255" s="972"/>
      <c r="B255" s="992"/>
      <c r="C255" s="970"/>
      <c r="D255" s="1003"/>
      <c r="E255" s="974"/>
      <c r="F255" s="974"/>
      <c r="G255" s="992"/>
      <c r="H255" s="403">
        <v>0</v>
      </c>
      <c r="I255" s="403">
        <v>0</v>
      </c>
      <c r="J255" s="989"/>
      <c r="K255" s="989"/>
      <c r="L255" s="985"/>
      <c r="M255" s="985"/>
      <c r="N255" s="989"/>
      <c r="O255" s="989"/>
      <c r="P255" s="985"/>
      <c r="Q255" s="985"/>
      <c r="R255" s="989"/>
      <c r="S255" s="985"/>
      <c r="T255" s="985"/>
      <c r="U255" s="989"/>
      <c r="V255" s="985"/>
      <c r="W255" s="985"/>
    </row>
    <row r="256" spans="1:23" s="404" customFormat="1" ht="13.5" customHeight="1">
      <c r="A256" s="972"/>
      <c r="B256" s="993"/>
      <c r="C256" s="970"/>
      <c r="D256" s="1004"/>
      <c r="E256" s="975"/>
      <c r="F256" s="975"/>
      <c r="G256" s="993"/>
      <c r="H256" s="403">
        <v>0</v>
      </c>
      <c r="I256" s="403">
        <v>0</v>
      </c>
      <c r="J256" s="990"/>
      <c r="K256" s="990"/>
      <c r="L256" s="986"/>
      <c r="M256" s="986"/>
      <c r="N256" s="990"/>
      <c r="O256" s="990"/>
      <c r="P256" s="986"/>
      <c r="Q256" s="986"/>
      <c r="R256" s="990"/>
      <c r="S256" s="986"/>
      <c r="T256" s="986"/>
      <c r="U256" s="990"/>
      <c r="V256" s="986"/>
      <c r="W256" s="986"/>
    </row>
    <row r="257" spans="1:23" s="404" customFormat="1" ht="15" customHeight="1">
      <c r="A257" s="972">
        <v>48</v>
      </c>
      <c r="B257" s="991" t="s">
        <v>601</v>
      </c>
      <c r="C257" s="970" t="s">
        <v>602</v>
      </c>
      <c r="D257" s="1002" t="s">
        <v>603</v>
      </c>
      <c r="E257" s="973" t="s">
        <v>598</v>
      </c>
      <c r="F257" s="973" t="s">
        <v>599</v>
      </c>
      <c r="G257" s="991" t="s">
        <v>507</v>
      </c>
      <c r="H257" s="403">
        <f>H258+H259+H260+H261</f>
        <v>11332725</v>
      </c>
      <c r="I257" s="403">
        <f>I258+I259+I260+I261</f>
        <v>2553578</v>
      </c>
      <c r="J257" s="988">
        <f>K257+N257</f>
        <v>6009790</v>
      </c>
      <c r="K257" s="988">
        <f>L257+M257</f>
        <v>5552524</v>
      </c>
      <c r="L257" s="984">
        <v>5552524</v>
      </c>
      <c r="M257" s="984">
        <v>0</v>
      </c>
      <c r="N257" s="988">
        <f>O257+R257+U257</f>
        <v>457266</v>
      </c>
      <c r="O257" s="988">
        <f>P257+Q257</f>
        <v>457266</v>
      </c>
      <c r="P257" s="984">
        <v>457266</v>
      </c>
      <c r="Q257" s="984">
        <v>0</v>
      </c>
      <c r="R257" s="988">
        <f>S257+T257</f>
        <v>0</v>
      </c>
      <c r="S257" s="984">
        <v>0</v>
      </c>
      <c r="T257" s="984">
        <v>0</v>
      </c>
      <c r="U257" s="988">
        <f>V257+W257</f>
        <v>0</v>
      </c>
      <c r="V257" s="984">
        <v>0</v>
      </c>
      <c r="W257" s="984">
        <v>0</v>
      </c>
    </row>
    <row r="258" spans="1:23" s="404" customFormat="1" ht="15" customHeight="1">
      <c r="A258" s="972"/>
      <c r="B258" s="992"/>
      <c r="C258" s="970"/>
      <c r="D258" s="1003"/>
      <c r="E258" s="974"/>
      <c r="F258" s="974"/>
      <c r="G258" s="992"/>
      <c r="H258" s="403">
        <v>10470453</v>
      </c>
      <c r="I258" s="403">
        <v>2359284</v>
      </c>
      <c r="J258" s="989"/>
      <c r="K258" s="989"/>
      <c r="L258" s="985"/>
      <c r="M258" s="985"/>
      <c r="N258" s="989"/>
      <c r="O258" s="989"/>
      <c r="P258" s="985"/>
      <c r="Q258" s="985"/>
      <c r="R258" s="989"/>
      <c r="S258" s="985"/>
      <c r="T258" s="985"/>
      <c r="U258" s="989"/>
      <c r="V258" s="985"/>
      <c r="W258" s="985"/>
    </row>
    <row r="259" spans="1:23" s="404" customFormat="1" ht="15" customHeight="1">
      <c r="A259" s="972"/>
      <c r="B259" s="992"/>
      <c r="C259" s="970"/>
      <c r="D259" s="1003"/>
      <c r="E259" s="974"/>
      <c r="F259" s="974"/>
      <c r="G259" s="992"/>
      <c r="H259" s="403">
        <v>862272</v>
      </c>
      <c r="I259" s="403">
        <v>194294</v>
      </c>
      <c r="J259" s="989"/>
      <c r="K259" s="989"/>
      <c r="L259" s="985"/>
      <c r="M259" s="985"/>
      <c r="N259" s="989"/>
      <c r="O259" s="989"/>
      <c r="P259" s="985"/>
      <c r="Q259" s="985"/>
      <c r="R259" s="989"/>
      <c r="S259" s="985"/>
      <c r="T259" s="985"/>
      <c r="U259" s="989"/>
      <c r="V259" s="985"/>
      <c r="W259" s="985"/>
    </row>
    <row r="260" spans="1:23" s="404" customFormat="1" ht="15" customHeight="1">
      <c r="A260" s="972"/>
      <c r="B260" s="992"/>
      <c r="C260" s="970"/>
      <c r="D260" s="1003"/>
      <c r="E260" s="974"/>
      <c r="F260" s="974"/>
      <c r="G260" s="992"/>
      <c r="H260" s="403">
        <v>0</v>
      </c>
      <c r="I260" s="403">
        <v>0</v>
      </c>
      <c r="J260" s="989"/>
      <c r="K260" s="989"/>
      <c r="L260" s="985"/>
      <c r="M260" s="985"/>
      <c r="N260" s="989"/>
      <c r="O260" s="989"/>
      <c r="P260" s="985"/>
      <c r="Q260" s="985"/>
      <c r="R260" s="989"/>
      <c r="S260" s="985"/>
      <c r="T260" s="985"/>
      <c r="U260" s="989"/>
      <c r="V260" s="985"/>
      <c r="W260" s="985"/>
    </row>
    <row r="261" spans="1:23" s="404" customFormat="1" ht="15" customHeight="1">
      <c r="A261" s="972"/>
      <c r="B261" s="993"/>
      <c r="C261" s="970"/>
      <c r="D261" s="1004"/>
      <c r="E261" s="975"/>
      <c r="F261" s="975"/>
      <c r="G261" s="993"/>
      <c r="H261" s="403">
        <v>0</v>
      </c>
      <c r="I261" s="403">
        <v>0</v>
      </c>
      <c r="J261" s="990"/>
      <c r="K261" s="990"/>
      <c r="L261" s="986"/>
      <c r="M261" s="986"/>
      <c r="N261" s="990"/>
      <c r="O261" s="990"/>
      <c r="P261" s="986"/>
      <c r="Q261" s="986"/>
      <c r="R261" s="990"/>
      <c r="S261" s="986"/>
      <c r="T261" s="986"/>
      <c r="U261" s="990"/>
      <c r="V261" s="986"/>
      <c r="W261" s="986"/>
    </row>
    <row r="262" spans="1:23" s="404" customFormat="1" ht="14.25" customHeight="1">
      <c r="A262" s="972">
        <v>49</v>
      </c>
      <c r="B262" s="991" t="s">
        <v>601</v>
      </c>
      <c r="C262" s="970" t="s">
        <v>602</v>
      </c>
      <c r="D262" s="1002" t="s">
        <v>604</v>
      </c>
      <c r="E262" s="973" t="s">
        <v>598</v>
      </c>
      <c r="F262" s="973" t="s">
        <v>599</v>
      </c>
      <c r="G262" s="991" t="s">
        <v>543</v>
      </c>
      <c r="H262" s="403">
        <f>H263+H264+H265+H266</f>
        <v>1287547</v>
      </c>
      <c r="I262" s="403">
        <f>I263+I264+I265+I266</f>
        <v>575672</v>
      </c>
      <c r="J262" s="988">
        <f>K262+N262</f>
        <v>711875</v>
      </c>
      <c r="K262" s="988">
        <f>L262+M262</f>
        <v>658819</v>
      </c>
      <c r="L262" s="984">
        <v>658819</v>
      </c>
      <c r="M262" s="984">
        <v>0</v>
      </c>
      <c r="N262" s="988">
        <f>O262+R262+U262</f>
        <v>53056</v>
      </c>
      <c r="O262" s="988">
        <f>P262+Q262</f>
        <v>53056</v>
      </c>
      <c r="P262" s="984">
        <v>53056</v>
      </c>
      <c r="Q262" s="984">
        <v>0</v>
      </c>
      <c r="R262" s="988">
        <f>S262+T262</f>
        <v>0</v>
      </c>
      <c r="S262" s="984">
        <v>0</v>
      </c>
      <c r="T262" s="984">
        <v>0</v>
      </c>
      <c r="U262" s="988">
        <f>V262+W262</f>
        <v>0</v>
      </c>
      <c r="V262" s="984">
        <v>0</v>
      </c>
      <c r="W262" s="984">
        <v>0</v>
      </c>
    </row>
    <row r="263" spans="1:23" s="404" customFormat="1" ht="14.25" customHeight="1">
      <c r="A263" s="972"/>
      <c r="B263" s="992"/>
      <c r="C263" s="970"/>
      <c r="D263" s="1003"/>
      <c r="E263" s="974"/>
      <c r="F263" s="974"/>
      <c r="G263" s="992"/>
      <c r="H263" s="403">
        <v>1191585</v>
      </c>
      <c r="I263" s="403">
        <v>532766</v>
      </c>
      <c r="J263" s="989"/>
      <c r="K263" s="989"/>
      <c r="L263" s="985"/>
      <c r="M263" s="985"/>
      <c r="N263" s="989"/>
      <c r="O263" s="989"/>
      <c r="P263" s="985"/>
      <c r="Q263" s="985"/>
      <c r="R263" s="989"/>
      <c r="S263" s="985"/>
      <c r="T263" s="985"/>
      <c r="U263" s="989"/>
      <c r="V263" s="985"/>
      <c r="W263" s="985"/>
    </row>
    <row r="264" spans="1:23" s="404" customFormat="1" ht="14.25" customHeight="1">
      <c r="A264" s="972"/>
      <c r="B264" s="992"/>
      <c r="C264" s="970"/>
      <c r="D264" s="1003"/>
      <c r="E264" s="974"/>
      <c r="F264" s="974"/>
      <c r="G264" s="992"/>
      <c r="H264" s="403">
        <v>95962</v>
      </c>
      <c r="I264" s="403">
        <v>42906</v>
      </c>
      <c r="J264" s="989"/>
      <c r="K264" s="989"/>
      <c r="L264" s="985"/>
      <c r="M264" s="985"/>
      <c r="N264" s="989"/>
      <c r="O264" s="989"/>
      <c r="P264" s="985"/>
      <c r="Q264" s="985"/>
      <c r="R264" s="989"/>
      <c r="S264" s="985"/>
      <c r="T264" s="985"/>
      <c r="U264" s="989"/>
      <c r="V264" s="985"/>
      <c r="W264" s="985"/>
    </row>
    <row r="265" spans="1:23" s="404" customFormat="1" ht="14.25" customHeight="1">
      <c r="A265" s="972"/>
      <c r="B265" s="992"/>
      <c r="C265" s="970"/>
      <c r="D265" s="1003"/>
      <c r="E265" s="974"/>
      <c r="F265" s="974"/>
      <c r="G265" s="992"/>
      <c r="H265" s="403">
        <v>0</v>
      </c>
      <c r="I265" s="403">
        <v>0</v>
      </c>
      <c r="J265" s="989"/>
      <c r="K265" s="989"/>
      <c r="L265" s="985"/>
      <c r="M265" s="985"/>
      <c r="N265" s="989"/>
      <c r="O265" s="989"/>
      <c r="P265" s="985"/>
      <c r="Q265" s="985"/>
      <c r="R265" s="989"/>
      <c r="S265" s="985"/>
      <c r="T265" s="985"/>
      <c r="U265" s="989"/>
      <c r="V265" s="985"/>
      <c r="W265" s="985"/>
    </row>
    <row r="266" spans="1:23" s="404" customFormat="1" ht="14.25" customHeight="1">
      <c r="A266" s="972"/>
      <c r="B266" s="993"/>
      <c r="C266" s="970"/>
      <c r="D266" s="1004"/>
      <c r="E266" s="975"/>
      <c r="F266" s="975"/>
      <c r="G266" s="993"/>
      <c r="H266" s="403">
        <v>0</v>
      </c>
      <c r="I266" s="403">
        <v>0</v>
      </c>
      <c r="J266" s="990"/>
      <c r="K266" s="990"/>
      <c r="L266" s="986"/>
      <c r="M266" s="986"/>
      <c r="N266" s="990"/>
      <c r="O266" s="990"/>
      <c r="P266" s="986"/>
      <c r="Q266" s="986"/>
      <c r="R266" s="990"/>
      <c r="S266" s="986"/>
      <c r="T266" s="986"/>
      <c r="U266" s="990"/>
      <c r="V266" s="986"/>
      <c r="W266" s="986"/>
    </row>
    <row r="267" spans="1:23" s="404" customFormat="1" ht="14.25" customHeight="1">
      <c r="A267" s="972">
        <v>50</v>
      </c>
      <c r="B267" s="991" t="s">
        <v>605</v>
      </c>
      <c r="C267" s="970" t="s">
        <v>606</v>
      </c>
      <c r="D267" s="1002" t="s">
        <v>607</v>
      </c>
      <c r="E267" s="973" t="s">
        <v>598</v>
      </c>
      <c r="F267" s="973" t="s">
        <v>599</v>
      </c>
      <c r="G267" s="991" t="s">
        <v>560</v>
      </c>
      <c r="H267" s="403">
        <f>H268+H269+H270+H271</f>
        <v>1813011</v>
      </c>
      <c r="I267" s="403">
        <f>I268+I269+I270+I271</f>
        <v>1770724</v>
      </c>
      <c r="J267" s="988">
        <f>K267+N267</f>
        <v>42287</v>
      </c>
      <c r="K267" s="988">
        <f>L267+M267</f>
        <v>35943</v>
      </c>
      <c r="L267" s="984">
        <v>35943</v>
      </c>
      <c r="M267" s="984">
        <v>0</v>
      </c>
      <c r="N267" s="988">
        <f>O267+R267+U267</f>
        <v>6344</v>
      </c>
      <c r="O267" s="988">
        <f>P267+Q267</f>
        <v>0</v>
      </c>
      <c r="P267" s="984">
        <v>0</v>
      </c>
      <c r="Q267" s="984">
        <v>0</v>
      </c>
      <c r="R267" s="988">
        <f>S267+T267</f>
        <v>6344</v>
      </c>
      <c r="S267" s="984">
        <v>6344</v>
      </c>
      <c r="T267" s="984">
        <v>0</v>
      </c>
      <c r="U267" s="988">
        <f>V267+W267</f>
        <v>0</v>
      </c>
      <c r="V267" s="984">
        <v>0</v>
      </c>
      <c r="W267" s="984">
        <v>0</v>
      </c>
    </row>
    <row r="268" spans="1:23" s="404" customFormat="1" ht="14.25" customHeight="1">
      <c r="A268" s="972"/>
      <c r="B268" s="992"/>
      <c r="C268" s="970"/>
      <c r="D268" s="1003"/>
      <c r="E268" s="974"/>
      <c r="F268" s="974"/>
      <c r="G268" s="992"/>
      <c r="H268" s="403">
        <v>1541059</v>
      </c>
      <c r="I268" s="403">
        <v>1505116</v>
      </c>
      <c r="J268" s="989"/>
      <c r="K268" s="989"/>
      <c r="L268" s="985"/>
      <c r="M268" s="985"/>
      <c r="N268" s="989"/>
      <c r="O268" s="989"/>
      <c r="P268" s="985"/>
      <c r="Q268" s="985"/>
      <c r="R268" s="989"/>
      <c r="S268" s="985"/>
      <c r="T268" s="985"/>
      <c r="U268" s="989"/>
      <c r="V268" s="985"/>
      <c r="W268" s="985"/>
    </row>
    <row r="269" spans="1:23" s="404" customFormat="1" ht="14.25" customHeight="1">
      <c r="A269" s="972"/>
      <c r="B269" s="992"/>
      <c r="C269" s="970"/>
      <c r="D269" s="1003"/>
      <c r="E269" s="974"/>
      <c r="F269" s="974"/>
      <c r="G269" s="992"/>
      <c r="H269" s="403">
        <v>0</v>
      </c>
      <c r="I269" s="403">
        <v>0</v>
      </c>
      <c r="J269" s="989"/>
      <c r="K269" s="989"/>
      <c r="L269" s="985"/>
      <c r="M269" s="985"/>
      <c r="N269" s="989"/>
      <c r="O269" s="989"/>
      <c r="P269" s="985"/>
      <c r="Q269" s="985"/>
      <c r="R269" s="989"/>
      <c r="S269" s="985"/>
      <c r="T269" s="985"/>
      <c r="U269" s="989"/>
      <c r="V269" s="985"/>
      <c r="W269" s="985"/>
    </row>
    <row r="270" spans="1:23" s="404" customFormat="1" ht="14.25" customHeight="1">
      <c r="A270" s="972"/>
      <c r="B270" s="992"/>
      <c r="C270" s="970"/>
      <c r="D270" s="1003"/>
      <c r="E270" s="974"/>
      <c r="F270" s="974"/>
      <c r="G270" s="992"/>
      <c r="H270" s="403">
        <v>271952</v>
      </c>
      <c r="I270" s="403">
        <v>265608</v>
      </c>
      <c r="J270" s="989"/>
      <c r="K270" s="989"/>
      <c r="L270" s="985"/>
      <c r="M270" s="985"/>
      <c r="N270" s="989"/>
      <c r="O270" s="989"/>
      <c r="P270" s="985"/>
      <c r="Q270" s="985"/>
      <c r="R270" s="989"/>
      <c r="S270" s="985"/>
      <c r="T270" s="985"/>
      <c r="U270" s="989"/>
      <c r="V270" s="985"/>
      <c r="W270" s="985"/>
    </row>
    <row r="271" spans="1:23" s="404" customFormat="1" ht="14.25" customHeight="1">
      <c r="A271" s="972"/>
      <c r="B271" s="993"/>
      <c r="C271" s="970"/>
      <c r="D271" s="1004"/>
      <c r="E271" s="975"/>
      <c r="F271" s="975"/>
      <c r="G271" s="993"/>
      <c r="H271" s="403">
        <v>0</v>
      </c>
      <c r="I271" s="403">
        <v>0</v>
      </c>
      <c r="J271" s="990"/>
      <c r="K271" s="990"/>
      <c r="L271" s="986"/>
      <c r="M271" s="986"/>
      <c r="N271" s="990"/>
      <c r="O271" s="990"/>
      <c r="P271" s="986"/>
      <c r="Q271" s="986"/>
      <c r="R271" s="990"/>
      <c r="S271" s="986"/>
      <c r="T271" s="986"/>
      <c r="U271" s="990"/>
      <c r="V271" s="986"/>
      <c r="W271" s="986"/>
    </row>
    <row r="272" spans="1:23" s="404" customFormat="1" ht="14.25" customHeight="1">
      <c r="A272" s="972">
        <v>51</v>
      </c>
      <c r="B272" s="991" t="s">
        <v>605</v>
      </c>
      <c r="C272" s="970" t="s">
        <v>606</v>
      </c>
      <c r="D272" s="1002" t="s">
        <v>608</v>
      </c>
      <c r="E272" s="973" t="s">
        <v>598</v>
      </c>
      <c r="F272" s="973" t="s">
        <v>599</v>
      </c>
      <c r="G272" s="991" t="s">
        <v>609</v>
      </c>
      <c r="H272" s="403">
        <f>H273+H274+H275+H276</f>
        <v>3240000</v>
      </c>
      <c r="I272" s="403">
        <f>I273+I274+I275+I276</f>
        <v>0</v>
      </c>
      <c r="J272" s="988">
        <f>K272+N272</f>
        <v>720000</v>
      </c>
      <c r="K272" s="988">
        <f>L272+M272</f>
        <v>612000</v>
      </c>
      <c r="L272" s="984">
        <v>612000</v>
      </c>
      <c r="M272" s="984">
        <v>0</v>
      </c>
      <c r="N272" s="988">
        <f>O272+R272+U272</f>
        <v>108000</v>
      </c>
      <c r="O272" s="988">
        <f>P272+Q272</f>
        <v>0</v>
      </c>
      <c r="P272" s="984">
        <v>0</v>
      </c>
      <c r="Q272" s="984">
        <v>0</v>
      </c>
      <c r="R272" s="988">
        <f>S272+T272</f>
        <v>108000</v>
      </c>
      <c r="S272" s="984">
        <v>108000</v>
      </c>
      <c r="T272" s="984">
        <v>0</v>
      </c>
      <c r="U272" s="988">
        <f>V272+W272</f>
        <v>0</v>
      </c>
      <c r="V272" s="984">
        <v>0</v>
      </c>
      <c r="W272" s="984">
        <v>0</v>
      </c>
    </row>
    <row r="273" spans="1:23" s="404" customFormat="1" ht="14.25" customHeight="1">
      <c r="A273" s="972"/>
      <c r="B273" s="992"/>
      <c r="C273" s="970"/>
      <c r="D273" s="1003"/>
      <c r="E273" s="974"/>
      <c r="F273" s="974"/>
      <c r="G273" s="992"/>
      <c r="H273" s="403">
        <v>2754000</v>
      </c>
      <c r="I273" s="403">
        <v>0</v>
      </c>
      <c r="J273" s="989"/>
      <c r="K273" s="989"/>
      <c r="L273" s="985"/>
      <c r="M273" s="985"/>
      <c r="N273" s="989"/>
      <c r="O273" s="989"/>
      <c r="P273" s="985"/>
      <c r="Q273" s="985"/>
      <c r="R273" s="989"/>
      <c r="S273" s="985"/>
      <c r="T273" s="985"/>
      <c r="U273" s="989"/>
      <c r="V273" s="985"/>
      <c r="W273" s="985"/>
    </row>
    <row r="274" spans="1:23" s="404" customFormat="1" ht="14.25" customHeight="1">
      <c r="A274" s="972"/>
      <c r="B274" s="992"/>
      <c r="C274" s="970"/>
      <c r="D274" s="1003"/>
      <c r="E274" s="974"/>
      <c r="F274" s="974"/>
      <c r="G274" s="992"/>
      <c r="H274" s="403">
        <v>0</v>
      </c>
      <c r="I274" s="403">
        <v>0</v>
      </c>
      <c r="J274" s="989"/>
      <c r="K274" s="989"/>
      <c r="L274" s="985"/>
      <c r="M274" s="985"/>
      <c r="N274" s="989"/>
      <c r="O274" s="989"/>
      <c r="P274" s="985"/>
      <c r="Q274" s="985"/>
      <c r="R274" s="989"/>
      <c r="S274" s="985"/>
      <c r="T274" s="985"/>
      <c r="U274" s="989"/>
      <c r="V274" s="985"/>
      <c r="W274" s="985"/>
    </row>
    <row r="275" spans="1:23" s="404" customFormat="1" ht="14.25" customHeight="1">
      <c r="A275" s="972"/>
      <c r="B275" s="992"/>
      <c r="C275" s="970"/>
      <c r="D275" s="1003"/>
      <c r="E275" s="974"/>
      <c r="F275" s="974"/>
      <c r="G275" s="992"/>
      <c r="H275" s="403">
        <v>486000</v>
      </c>
      <c r="I275" s="403">
        <v>0</v>
      </c>
      <c r="J275" s="989"/>
      <c r="K275" s="989"/>
      <c r="L275" s="985"/>
      <c r="M275" s="985"/>
      <c r="N275" s="989"/>
      <c r="O275" s="989"/>
      <c r="P275" s="985"/>
      <c r="Q275" s="985"/>
      <c r="R275" s="989"/>
      <c r="S275" s="985"/>
      <c r="T275" s="985"/>
      <c r="U275" s="989"/>
      <c r="V275" s="985"/>
      <c r="W275" s="985"/>
    </row>
    <row r="276" spans="1:23" s="404" customFormat="1" ht="14.25" customHeight="1">
      <c r="A276" s="972"/>
      <c r="B276" s="993"/>
      <c r="C276" s="970"/>
      <c r="D276" s="1004"/>
      <c r="E276" s="975"/>
      <c r="F276" s="975"/>
      <c r="G276" s="993"/>
      <c r="H276" s="403">
        <v>0</v>
      </c>
      <c r="I276" s="403">
        <v>0</v>
      </c>
      <c r="J276" s="990"/>
      <c r="K276" s="990"/>
      <c r="L276" s="986"/>
      <c r="M276" s="986"/>
      <c r="N276" s="990"/>
      <c r="O276" s="990"/>
      <c r="P276" s="986"/>
      <c r="Q276" s="986"/>
      <c r="R276" s="990"/>
      <c r="S276" s="986"/>
      <c r="T276" s="986"/>
      <c r="U276" s="990"/>
      <c r="V276" s="986"/>
      <c r="W276" s="986"/>
    </row>
    <row r="277" spans="1:23" s="404" customFormat="1" ht="12.75" customHeight="1">
      <c r="A277" s="972">
        <v>52</v>
      </c>
      <c r="B277" s="991" t="s">
        <v>610</v>
      </c>
      <c r="C277" s="970" t="s">
        <v>611</v>
      </c>
      <c r="D277" s="1002" t="s">
        <v>612</v>
      </c>
      <c r="E277" s="973" t="s">
        <v>502</v>
      </c>
      <c r="F277" s="973" t="s">
        <v>613</v>
      </c>
      <c r="G277" s="991" t="s">
        <v>614</v>
      </c>
      <c r="H277" s="403">
        <f>H278+H279+H280+H281</f>
        <v>2441365</v>
      </c>
      <c r="I277" s="403">
        <f>I278+I279+I280+I281</f>
        <v>0</v>
      </c>
      <c r="J277" s="988">
        <f>K277+N277</f>
        <v>787480</v>
      </c>
      <c r="K277" s="988">
        <f>L277+M277</f>
        <v>669358</v>
      </c>
      <c r="L277" s="984">
        <v>669358</v>
      </c>
      <c r="M277" s="984">
        <v>0</v>
      </c>
      <c r="N277" s="988">
        <f>O277+R277+U277</f>
        <v>118122</v>
      </c>
      <c r="O277" s="988">
        <f>P277+Q277</f>
        <v>0</v>
      </c>
      <c r="P277" s="984">
        <v>0</v>
      </c>
      <c r="Q277" s="984">
        <v>0</v>
      </c>
      <c r="R277" s="988">
        <f>S277+T277</f>
        <v>118122</v>
      </c>
      <c r="S277" s="984">
        <v>118122</v>
      </c>
      <c r="T277" s="984">
        <v>0</v>
      </c>
      <c r="U277" s="988">
        <f>V277+W277</f>
        <v>0</v>
      </c>
      <c r="V277" s="984">
        <v>0</v>
      </c>
      <c r="W277" s="984">
        <v>0</v>
      </c>
    </row>
    <row r="278" spans="1:23" s="404" customFormat="1" ht="12.75" customHeight="1">
      <c r="A278" s="972"/>
      <c r="B278" s="992"/>
      <c r="C278" s="970"/>
      <c r="D278" s="1003"/>
      <c r="E278" s="974"/>
      <c r="F278" s="974"/>
      <c r="G278" s="992"/>
      <c r="H278" s="403">
        <v>2075160</v>
      </c>
      <c r="I278" s="403">
        <v>0</v>
      </c>
      <c r="J278" s="989"/>
      <c r="K278" s="989"/>
      <c r="L278" s="985"/>
      <c r="M278" s="985"/>
      <c r="N278" s="989"/>
      <c r="O278" s="989"/>
      <c r="P278" s="985"/>
      <c r="Q278" s="985"/>
      <c r="R278" s="989"/>
      <c r="S278" s="985"/>
      <c r="T278" s="985"/>
      <c r="U278" s="989"/>
      <c r="V278" s="985"/>
      <c r="W278" s="985"/>
    </row>
    <row r="279" spans="1:23" s="404" customFormat="1" ht="12.75" customHeight="1">
      <c r="A279" s="972"/>
      <c r="B279" s="992"/>
      <c r="C279" s="970"/>
      <c r="D279" s="1003"/>
      <c r="E279" s="974"/>
      <c r="F279" s="974"/>
      <c r="G279" s="992"/>
      <c r="H279" s="403">
        <v>0</v>
      </c>
      <c r="I279" s="403">
        <v>0</v>
      </c>
      <c r="J279" s="989"/>
      <c r="K279" s="989"/>
      <c r="L279" s="985"/>
      <c r="M279" s="985"/>
      <c r="N279" s="989"/>
      <c r="O279" s="989"/>
      <c r="P279" s="985"/>
      <c r="Q279" s="985"/>
      <c r="R279" s="989"/>
      <c r="S279" s="985"/>
      <c r="T279" s="985"/>
      <c r="U279" s="989"/>
      <c r="V279" s="985"/>
      <c r="W279" s="985"/>
    </row>
    <row r="280" spans="1:23" s="404" customFormat="1" ht="12.75" customHeight="1">
      <c r="A280" s="972"/>
      <c r="B280" s="992"/>
      <c r="C280" s="970"/>
      <c r="D280" s="1003"/>
      <c r="E280" s="974"/>
      <c r="F280" s="974"/>
      <c r="G280" s="992"/>
      <c r="H280" s="403">
        <v>366205</v>
      </c>
      <c r="I280" s="403">
        <v>0</v>
      </c>
      <c r="J280" s="989"/>
      <c r="K280" s="989"/>
      <c r="L280" s="985"/>
      <c r="M280" s="985"/>
      <c r="N280" s="989"/>
      <c r="O280" s="989"/>
      <c r="P280" s="985"/>
      <c r="Q280" s="985"/>
      <c r="R280" s="989"/>
      <c r="S280" s="985"/>
      <c r="T280" s="985"/>
      <c r="U280" s="989"/>
      <c r="V280" s="985"/>
      <c r="W280" s="985"/>
    </row>
    <row r="281" spans="1:23" s="404" customFormat="1" ht="12.75" customHeight="1">
      <c r="A281" s="972"/>
      <c r="B281" s="993"/>
      <c r="C281" s="970"/>
      <c r="D281" s="1004"/>
      <c r="E281" s="975"/>
      <c r="F281" s="975"/>
      <c r="G281" s="993"/>
      <c r="H281" s="403">
        <v>0</v>
      </c>
      <c r="I281" s="403">
        <v>0</v>
      </c>
      <c r="J281" s="990"/>
      <c r="K281" s="990"/>
      <c r="L281" s="986"/>
      <c r="M281" s="986"/>
      <c r="N281" s="990"/>
      <c r="O281" s="990"/>
      <c r="P281" s="986"/>
      <c r="Q281" s="986"/>
      <c r="R281" s="990"/>
      <c r="S281" s="986"/>
      <c r="T281" s="986"/>
      <c r="U281" s="990"/>
      <c r="V281" s="986"/>
      <c r="W281" s="986"/>
    </row>
    <row r="282" spans="1:23" s="404" customFormat="1" ht="12.75" customHeight="1">
      <c r="A282" s="972">
        <v>53</v>
      </c>
      <c r="B282" s="991" t="s">
        <v>615</v>
      </c>
      <c r="C282" s="970" t="s">
        <v>611</v>
      </c>
      <c r="D282" s="1002" t="s">
        <v>616</v>
      </c>
      <c r="E282" s="973" t="s">
        <v>502</v>
      </c>
      <c r="F282" s="973" t="s">
        <v>617</v>
      </c>
      <c r="G282" s="991" t="s">
        <v>538</v>
      </c>
      <c r="H282" s="403">
        <f>H283+H284+H285+H286</f>
        <v>2764483</v>
      </c>
      <c r="I282" s="403">
        <f>I283+I284+I285+I286</f>
        <v>201803</v>
      </c>
      <c r="J282" s="988">
        <f>K282+N282</f>
        <v>1802130</v>
      </c>
      <c r="K282" s="988">
        <f>L282+M282</f>
        <v>1612366</v>
      </c>
      <c r="L282" s="984">
        <v>1612366</v>
      </c>
      <c r="M282" s="984">
        <v>0</v>
      </c>
      <c r="N282" s="988">
        <f>O282+R282+U282</f>
        <v>189764</v>
      </c>
      <c r="O282" s="988">
        <f>P282+Q282</f>
        <v>189764</v>
      </c>
      <c r="P282" s="984">
        <v>189764</v>
      </c>
      <c r="Q282" s="984">
        <v>0</v>
      </c>
      <c r="R282" s="988">
        <f>S282+T282</f>
        <v>0</v>
      </c>
      <c r="S282" s="984">
        <v>0</v>
      </c>
      <c r="T282" s="984">
        <v>0</v>
      </c>
      <c r="U282" s="988">
        <f>V282+W282</f>
        <v>0</v>
      </c>
      <c r="V282" s="984">
        <v>0</v>
      </c>
      <c r="W282" s="984">
        <v>0</v>
      </c>
    </row>
    <row r="283" spans="1:23" s="404" customFormat="1" ht="12.75" customHeight="1">
      <c r="A283" s="972"/>
      <c r="B283" s="992"/>
      <c r="C283" s="970"/>
      <c r="D283" s="1003"/>
      <c r="E283" s="974"/>
      <c r="F283" s="974"/>
      <c r="G283" s="992"/>
      <c r="H283" s="403">
        <v>2473485</v>
      </c>
      <c r="I283" s="403">
        <v>180553</v>
      </c>
      <c r="J283" s="989"/>
      <c r="K283" s="989"/>
      <c r="L283" s="985"/>
      <c r="M283" s="985"/>
      <c r="N283" s="989"/>
      <c r="O283" s="989"/>
      <c r="P283" s="985"/>
      <c r="Q283" s="985"/>
      <c r="R283" s="989"/>
      <c r="S283" s="985"/>
      <c r="T283" s="985"/>
      <c r="U283" s="989"/>
      <c r="V283" s="985"/>
      <c r="W283" s="985"/>
    </row>
    <row r="284" spans="1:23" s="404" customFormat="1" ht="12.75" customHeight="1">
      <c r="A284" s="972"/>
      <c r="B284" s="992"/>
      <c r="C284" s="970"/>
      <c r="D284" s="1003"/>
      <c r="E284" s="974"/>
      <c r="F284" s="974"/>
      <c r="G284" s="992"/>
      <c r="H284" s="403">
        <v>290998</v>
      </c>
      <c r="I284" s="403">
        <v>21250</v>
      </c>
      <c r="J284" s="989"/>
      <c r="K284" s="989"/>
      <c r="L284" s="985"/>
      <c r="M284" s="985"/>
      <c r="N284" s="989"/>
      <c r="O284" s="989"/>
      <c r="P284" s="985"/>
      <c r="Q284" s="985"/>
      <c r="R284" s="989"/>
      <c r="S284" s="985"/>
      <c r="T284" s="985"/>
      <c r="U284" s="989"/>
      <c r="V284" s="985"/>
      <c r="W284" s="985"/>
    </row>
    <row r="285" spans="1:23" s="404" customFormat="1" ht="12.75" customHeight="1">
      <c r="A285" s="972"/>
      <c r="B285" s="992"/>
      <c r="C285" s="970"/>
      <c r="D285" s="1003"/>
      <c r="E285" s="974"/>
      <c r="F285" s="974"/>
      <c r="G285" s="992"/>
      <c r="H285" s="403">
        <v>0</v>
      </c>
      <c r="I285" s="403">
        <v>0</v>
      </c>
      <c r="J285" s="989"/>
      <c r="K285" s="989"/>
      <c r="L285" s="985"/>
      <c r="M285" s="985"/>
      <c r="N285" s="989"/>
      <c r="O285" s="989"/>
      <c r="P285" s="985"/>
      <c r="Q285" s="985"/>
      <c r="R285" s="989"/>
      <c r="S285" s="985"/>
      <c r="T285" s="985"/>
      <c r="U285" s="989"/>
      <c r="V285" s="985"/>
      <c r="W285" s="985"/>
    </row>
    <row r="286" spans="1:23" s="404" customFormat="1" ht="12.75" customHeight="1">
      <c r="A286" s="972"/>
      <c r="B286" s="993"/>
      <c r="C286" s="970"/>
      <c r="D286" s="1004"/>
      <c r="E286" s="975"/>
      <c r="F286" s="975"/>
      <c r="G286" s="993"/>
      <c r="H286" s="403">
        <v>0</v>
      </c>
      <c r="I286" s="403">
        <v>0</v>
      </c>
      <c r="J286" s="990"/>
      <c r="K286" s="990"/>
      <c r="L286" s="986"/>
      <c r="M286" s="986"/>
      <c r="N286" s="990"/>
      <c r="O286" s="990"/>
      <c r="P286" s="986"/>
      <c r="Q286" s="986"/>
      <c r="R286" s="990"/>
      <c r="S286" s="986"/>
      <c r="T286" s="986"/>
      <c r="U286" s="990"/>
      <c r="V286" s="986"/>
      <c r="W286" s="986"/>
    </row>
    <row r="287" spans="1:23" s="404" customFormat="1" ht="14.25" customHeight="1">
      <c r="A287" s="972">
        <v>54</v>
      </c>
      <c r="B287" s="991" t="s">
        <v>615</v>
      </c>
      <c r="C287" s="970" t="s">
        <v>611</v>
      </c>
      <c r="D287" s="1002" t="s">
        <v>618</v>
      </c>
      <c r="E287" s="973" t="s">
        <v>502</v>
      </c>
      <c r="F287" s="973" t="s">
        <v>617</v>
      </c>
      <c r="G287" s="991" t="s">
        <v>609</v>
      </c>
      <c r="H287" s="403">
        <f>H288+H289+H290+H291</f>
        <v>8228000</v>
      </c>
      <c r="I287" s="403">
        <f>I288+I289+I290+I291</f>
        <v>0</v>
      </c>
      <c r="J287" s="988">
        <f>K287+N287</f>
        <v>3337572</v>
      </c>
      <c r="K287" s="988">
        <f>L287+M287</f>
        <v>3337572</v>
      </c>
      <c r="L287" s="984">
        <v>3256572</v>
      </c>
      <c r="M287" s="984">
        <v>81000</v>
      </c>
      <c r="N287" s="988">
        <f>O287+R287+U287</f>
        <v>0</v>
      </c>
      <c r="O287" s="988">
        <f>P287+Q287</f>
        <v>0</v>
      </c>
      <c r="P287" s="984">
        <v>0</v>
      </c>
      <c r="Q287" s="984">
        <v>0</v>
      </c>
      <c r="R287" s="988">
        <f>S287+T287</f>
        <v>0</v>
      </c>
      <c r="S287" s="984">
        <v>0</v>
      </c>
      <c r="T287" s="984">
        <v>0</v>
      </c>
      <c r="U287" s="988">
        <f>V287+W287</f>
        <v>0</v>
      </c>
      <c r="V287" s="984">
        <v>0</v>
      </c>
      <c r="W287" s="984">
        <v>0</v>
      </c>
    </row>
    <row r="288" spans="1:23" s="404" customFormat="1" ht="14.25" customHeight="1">
      <c r="A288" s="972"/>
      <c r="B288" s="992"/>
      <c r="C288" s="970"/>
      <c r="D288" s="1003"/>
      <c r="E288" s="974"/>
      <c r="F288" s="974"/>
      <c r="G288" s="992"/>
      <c r="H288" s="403">
        <v>8228000</v>
      </c>
      <c r="I288" s="403">
        <v>0</v>
      </c>
      <c r="J288" s="989"/>
      <c r="K288" s="989"/>
      <c r="L288" s="985"/>
      <c r="M288" s="985"/>
      <c r="N288" s="989"/>
      <c r="O288" s="989"/>
      <c r="P288" s="985"/>
      <c r="Q288" s="985"/>
      <c r="R288" s="989"/>
      <c r="S288" s="985"/>
      <c r="T288" s="985"/>
      <c r="U288" s="989"/>
      <c r="V288" s="985"/>
      <c r="W288" s="985"/>
    </row>
    <row r="289" spans="1:23" s="404" customFormat="1" ht="14.25" customHeight="1">
      <c r="A289" s="972"/>
      <c r="B289" s="992"/>
      <c r="C289" s="970"/>
      <c r="D289" s="1003"/>
      <c r="E289" s="974"/>
      <c r="F289" s="974"/>
      <c r="G289" s="992"/>
      <c r="H289" s="403">
        <v>0</v>
      </c>
      <c r="I289" s="403">
        <v>0</v>
      </c>
      <c r="J289" s="989"/>
      <c r="K289" s="989"/>
      <c r="L289" s="985"/>
      <c r="M289" s="985"/>
      <c r="N289" s="989"/>
      <c r="O289" s="989"/>
      <c r="P289" s="985"/>
      <c r="Q289" s="985"/>
      <c r="R289" s="989"/>
      <c r="S289" s="985"/>
      <c r="T289" s="985"/>
      <c r="U289" s="989"/>
      <c r="V289" s="985"/>
      <c r="W289" s="985"/>
    </row>
    <row r="290" spans="1:23" s="404" customFormat="1" ht="14.25" customHeight="1">
      <c r="A290" s="972"/>
      <c r="B290" s="992"/>
      <c r="C290" s="970"/>
      <c r="D290" s="1003"/>
      <c r="E290" s="974"/>
      <c r="F290" s="974"/>
      <c r="G290" s="992"/>
      <c r="H290" s="403">
        <v>0</v>
      </c>
      <c r="I290" s="403">
        <v>0</v>
      </c>
      <c r="J290" s="989"/>
      <c r="K290" s="989"/>
      <c r="L290" s="985"/>
      <c r="M290" s="985"/>
      <c r="N290" s="989"/>
      <c r="O290" s="989"/>
      <c r="P290" s="985"/>
      <c r="Q290" s="985"/>
      <c r="R290" s="989"/>
      <c r="S290" s="985"/>
      <c r="T290" s="985"/>
      <c r="U290" s="989"/>
      <c r="V290" s="985"/>
      <c r="W290" s="985"/>
    </row>
    <row r="291" spans="1:23" s="404" customFormat="1" ht="14.25" customHeight="1">
      <c r="A291" s="972"/>
      <c r="B291" s="993"/>
      <c r="C291" s="970"/>
      <c r="D291" s="1004"/>
      <c r="E291" s="975"/>
      <c r="F291" s="975"/>
      <c r="G291" s="993"/>
      <c r="H291" s="403">
        <v>0</v>
      </c>
      <c r="I291" s="403">
        <v>0</v>
      </c>
      <c r="J291" s="990"/>
      <c r="K291" s="990"/>
      <c r="L291" s="986"/>
      <c r="M291" s="986"/>
      <c r="N291" s="990"/>
      <c r="O291" s="990"/>
      <c r="P291" s="986"/>
      <c r="Q291" s="986"/>
      <c r="R291" s="990"/>
      <c r="S291" s="986"/>
      <c r="T291" s="986"/>
      <c r="U291" s="990"/>
      <c r="V291" s="986"/>
      <c r="W291" s="986"/>
    </row>
    <row r="292" spans="1:23" s="404" customFormat="1" ht="13.5" customHeight="1">
      <c r="A292" s="972">
        <v>55</v>
      </c>
      <c r="B292" s="991" t="s">
        <v>619</v>
      </c>
      <c r="C292" s="970" t="s">
        <v>620</v>
      </c>
      <c r="D292" s="1002" t="s">
        <v>621</v>
      </c>
      <c r="E292" s="973" t="s">
        <v>502</v>
      </c>
      <c r="F292" s="973" t="s">
        <v>617</v>
      </c>
      <c r="G292" s="991" t="s">
        <v>560</v>
      </c>
      <c r="H292" s="403">
        <f>H293+H294+H295+H296</f>
        <v>4727368</v>
      </c>
      <c r="I292" s="403">
        <f>I293+I294+I295+I296</f>
        <v>4309087</v>
      </c>
      <c r="J292" s="988">
        <f>K292+N292</f>
        <v>418281</v>
      </c>
      <c r="K292" s="988">
        <f>L292+M292</f>
        <v>374398</v>
      </c>
      <c r="L292" s="984">
        <v>374398</v>
      </c>
      <c r="M292" s="984">
        <v>0</v>
      </c>
      <c r="N292" s="988">
        <f>O292+R292+U292</f>
        <v>43883</v>
      </c>
      <c r="O292" s="988">
        <f>P292+Q292</f>
        <v>43883</v>
      </c>
      <c r="P292" s="984">
        <v>43883</v>
      </c>
      <c r="Q292" s="984">
        <v>0</v>
      </c>
      <c r="R292" s="988">
        <f>S292+T292</f>
        <v>0</v>
      </c>
      <c r="S292" s="984">
        <v>0</v>
      </c>
      <c r="T292" s="984">
        <v>0</v>
      </c>
      <c r="U292" s="988">
        <f>V292+W292</f>
        <v>0</v>
      </c>
      <c r="V292" s="984">
        <v>0</v>
      </c>
      <c r="W292" s="984">
        <v>0</v>
      </c>
    </row>
    <row r="293" spans="1:23" s="404" customFormat="1" ht="13.5" customHeight="1">
      <c r="A293" s="972"/>
      <c r="B293" s="992"/>
      <c r="C293" s="970"/>
      <c r="D293" s="1003"/>
      <c r="E293" s="974"/>
      <c r="F293" s="974"/>
      <c r="G293" s="992"/>
      <c r="H293" s="403">
        <v>4229750</v>
      </c>
      <c r="I293" s="403">
        <v>3855352</v>
      </c>
      <c r="J293" s="989"/>
      <c r="K293" s="989"/>
      <c r="L293" s="985"/>
      <c r="M293" s="985"/>
      <c r="N293" s="989"/>
      <c r="O293" s="989"/>
      <c r="P293" s="985"/>
      <c r="Q293" s="985"/>
      <c r="R293" s="989"/>
      <c r="S293" s="985"/>
      <c r="T293" s="985"/>
      <c r="U293" s="989"/>
      <c r="V293" s="985"/>
      <c r="W293" s="985"/>
    </row>
    <row r="294" spans="1:23" s="404" customFormat="1" ht="13.5" customHeight="1">
      <c r="A294" s="972"/>
      <c r="B294" s="992"/>
      <c r="C294" s="970"/>
      <c r="D294" s="1003"/>
      <c r="E294" s="974"/>
      <c r="F294" s="974"/>
      <c r="G294" s="992"/>
      <c r="H294" s="403">
        <v>497618</v>
      </c>
      <c r="I294" s="403">
        <v>453735</v>
      </c>
      <c r="J294" s="989"/>
      <c r="K294" s="989"/>
      <c r="L294" s="985"/>
      <c r="M294" s="985"/>
      <c r="N294" s="989"/>
      <c r="O294" s="989"/>
      <c r="P294" s="985"/>
      <c r="Q294" s="985"/>
      <c r="R294" s="989"/>
      <c r="S294" s="985"/>
      <c r="T294" s="985"/>
      <c r="U294" s="989"/>
      <c r="V294" s="985"/>
      <c r="W294" s="985"/>
    </row>
    <row r="295" spans="1:23" s="404" customFormat="1" ht="13.5" customHeight="1">
      <c r="A295" s="972"/>
      <c r="B295" s="992"/>
      <c r="C295" s="970"/>
      <c r="D295" s="1003"/>
      <c r="E295" s="974"/>
      <c r="F295" s="974"/>
      <c r="G295" s="992"/>
      <c r="H295" s="403">
        <v>0</v>
      </c>
      <c r="I295" s="403">
        <v>0</v>
      </c>
      <c r="J295" s="989"/>
      <c r="K295" s="989"/>
      <c r="L295" s="985"/>
      <c r="M295" s="985"/>
      <c r="N295" s="989"/>
      <c r="O295" s="989"/>
      <c r="P295" s="985"/>
      <c r="Q295" s="985"/>
      <c r="R295" s="989"/>
      <c r="S295" s="985"/>
      <c r="T295" s="985"/>
      <c r="U295" s="989"/>
      <c r="V295" s="985"/>
      <c r="W295" s="985"/>
    </row>
    <row r="296" spans="1:23" s="404" customFormat="1" ht="13.5" customHeight="1">
      <c r="A296" s="972"/>
      <c r="B296" s="993"/>
      <c r="C296" s="970"/>
      <c r="D296" s="1004"/>
      <c r="E296" s="975"/>
      <c r="F296" s="975"/>
      <c r="G296" s="993"/>
      <c r="H296" s="403">
        <v>0</v>
      </c>
      <c r="I296" s="403">
        <v>0</v>
      </c>
      <c r="J296" s="990"/>
      <c r="K296" s="990"/>
      <c r="L296" s="986"/>
      <c r="M296" s="986"/>
      <c r="N296" s="990"/>
      <c r="O296" s="990"/>
      <c r="P296" s="986"/>
      <c r="Q296" s="986"/>
      <c r="R296" s="990"/>
      <c r="S296" s="986"/>
      <c r="T296" s="986"/>
      <c r="U296" s="990"/>
      <c r="V296" s="986"/>
      <c r="W296" s="986"/>
    </row>
    <row r="297" spans="1:23" s="404" customFormat="1" ht="14.25" customHeight="1">
      <c r="A297" s="972">
        <v>56</v>
      </c>
      <c r="B297" s="991" t="s">
        <v>622</v>
      </c>
      <c r="C297" s="970" t="s">
        <v>611</v>
      </c>
      <c r="D297" s="1002" t="s">
        <v>623</v>
      </c>
      <c r="E297" s="973" t="s">
        <v>502</v>
      </c>
      <c r="F297" s="973" t="s">
        <v>624</v>
      </c>
      <c r="G297" s="991" t="s">
        <v>504</v>
      </c>
      <c r="H297" s="403">
        <f>H298+H299+H300+H301</f>
        <v>19999350</v>
      </c>
      <c r="I297" s="403">
        <f>I298+I299+I300+I301</f>
        <v>11059237</v>
      </c>
      <c r="J297" s="988">
        <f>K297+N297</f>
        <v>2610900</v>
      </c>
      <c r="K297" s="988">
        <f>L297+M297</f>
        <v>2219265</v>
      </c>
      <c r="L297" s="984">
        <v>2219265</v>
      </c>
      <c r="M297" s="984">
        <v>0</v>
      </c>
      <c r="N297" s="988">
        <f>O297+R297+U297</f>
        <v>391635</v>
      </c>
      <c r="O297" s="988">
        <f>P297+Q297</f>
        <v>391635</v>
      </c>
      <c r="P297" s="984">
        <v>391635</v>
      </c>
      <c r="Q297" s="984">
        <v>0</v>
      </c>
      <c r="R297" s="988">
        <f>S297+T297</f>
        <v>0</v>
      </c>
      <c r="S297" s="984">
        <v>0</v>
      </c>
      <c r="T297" s="984">
        <v>0</v>
      </c>
      <c r="U297" s="988">
        <f>V297+W297</f>
        <v>0</v>
      </c>
      <c r="V297" s="984">
        <v>0</v>
      </c>
      <c r="W297" s="984">
        <v>0</v>
      </c>
    </row>
    <row r="298" spans="1:23" s="404" customFormat="1" ht="14.25" customHeight="1">
      <c r="A298" s="972"/>
      <c r="B298" s="992"/>
      <c r="C298" s="970"/>
      <c r="D298" s="1003"/>
      <c r="E298" s="974"/>
      <c r="F298" s="974"/>
      <c r="G298" s="992"/>
      <c r="H298" s="403">
        <v>16999447</v>
      </c>
      <c r="I298" s="403">
        <v>9400351</v>
      </c>
      <c r="J298" s="989"/>
      <c r="K298" s="989"/>
      <c r="L298" s="985"/>
      <c r="M298" s="985"/>
      <c r="N298" s="989"/>
      <c r="O298" s="989"/>
      <c r="P298" s="985"/>
      <c r="Q298" s="985"/>
      <c r="R298" s="989"/>
      <c r="S298" s="985"/>
      <c r="T298" s="985"/>
      <c r="U298" s="989"/>
      <c r="V298" s="985"/>
      <c r="W298" s="985"/>
    </row>
    <row r="299" spans="1:23" s="404" customFormat="1" ht="14.25" customHeight="1">
      <c r="A299" s="972"/>
      <c r="B299" s="992"/>
      <c r="C299" s="970"/>
      <c r="D299" s="1003"/>
      <c r="E299" s="974"/>
      <c r="F299" s="974"/>
      <c r="G299" s="992"/>
      <c r="H299" s="403">
        <v>2999903</v>
      </c>
      <c r="I299" s="403">
        <v>1658886</v>
      </c>
      <c r="J299" s="989"/>
      <c r="K299" s="989"/>
      <c r="L299" s="985"/>
      <c r="M299" s="985"/>
      <c r="N299" s="989"/>
      <c r="O299" s="989"/>
      <c r="P299" s="985"/>
      <c r="Q299" s="985"/>
      <c r="R299" s="989"/>
      <c r="S299" s="985"/>
      <c r="T299" s="985"/>
      <c r="U299" s="989"/>
      <c r="V299" s="985"/>
      <c r="W299" s="985"/>
    </row>
    <row r="300" spans="1:23" s="404" customFormat="1" ht="14.25" customHeight="1">
      <c r="A300" s="972"/>
      <c r="B300" s="992"/>
      <c r="C300" s="970"/>
      <c r="D300" s="1003"/>
      <c r="E300" s="974"/>
      <c r="F300" s="974"/>
      <c r="G300" s="992"/>
      <c r="H300" s="403">
        <v>0</v>
      </c>
      <c r="I300" s="403">
        <v>0</v>
      </c>
      <c r="J300" s="989"/>
      <c r="K300" s="989"/>
      <c r="L300" s="985"/>
      <c r="M300" s="985"/>
      <c r="N300" s="989"/>
      <c r="O300" s="989"/>
      <c r="P300" s="985"/>
      <c r="Q300" s="985"/>
      <c r="R300" s="989"/>
      <c r="S300" s="985"/>
      <c r="T300" s="985"/>
      <c r="U300" s="989"/>
      <c r="V300" s="985"/>
      <c r="W300" s="985"/>
    </row>
    <row r="301" spans="1:23" s="404" customFormat="1" ht="14.25" customHeight="1">
      <c r="A301" s="972"/>
      <c r="B301" s="993"/>
      <c r="C301" s="970"/>
      <c r="D301" s="1004"/>
      <c r="E301" s="975"/>
      <c r="F301" s="975"/>
      <c r="G301" s="993"/>
      <c r="H301" s="403">
        <v>0</v>
      </c>
      <c r="I301" s="403">
        <v>0</v>
      </c>
      <c r="J301" s="990"/>
      <c r="K301" s="990"/>
      <c r="L301" s="986"/>
      <c r="M301" s="986"/>
      <c r="N301" s="990"/>
      <c r="O301" s="990"/>
      <c r="P301" s="986"/>
      <c r="Q301" s="986"/>
      <c r="R301" s="990"/>
      <c r="S301" s="986"/>
      <c r="T301" s="986"/>
      <c r="U301" s="990"/>
      <c r="V301" s="986"/>
      <c r="W301" s="986"/>
    </row>
    <row r="302" spans="1:23" s="404" customFormat="1" ht="13.5" customHeight="1">
      <c r="A302" s="972">
        <v>57</v>
      </c>
      <c r="B302" s="991" t="s">
        <v>622</v>
      </c>
      <c r="C302" s="970" t="s">
        <v>611</v>
      </c>
      <c r="D302" s="1002" t="s">
        <v>625</v>
      </c>
      <c r="E302" s="973" t="s">
        <v>502</v>
      </c>
      <c r="F302" s="973" t="s">
        <v>624</v>
      </c>
      <c r="G302" s="991" t="s">
        <v>538</v>
      </c>
      <c r="H302" s="403">
        <f>H303+H304+H305+H306</f>
        <v>5081851</v>
      </c>
      <c r="I302" s="403">
        <f>I303+I304+I305+I306</f>
        <v>677580</v>
      </c>
      <c r="J302" s="988">
        <f>K302+N302</f>
        <v>1693950</v>
      </c>
      <c r="K302" s="988">
        <f>L302+M302</f>
        <v>1439857</v>
      </c>
      <c r="L302" s="984">
        <v>1439857</v>
      </c>
      <c r="M302" s="984">
        <v>0</v>
      </c>
      <c r="N302" s="988">
        <f>O302+R302+U302</f>
        <v>254093</v>
      </c>
      <c r="O302" s="988">
        <f>P302+Q302</f>
        <v>254093</v>
      </c>
      <c r="P302" s="984">
        <v>254093</v>
      </c>
      <c r="Q302" s="984">
        <v>0</v>
      </c>
      <c r="R302" s="988">
        <f>S302+T302</f>
        <v>0</v>
      </c>
      <c r="S302" s="984">
        <v>0</v>
      </c>
      <c r="T302" s="984">
        <v>0</v>
      </c>
      <c r="U302" s="988">
        <f>V302+W302</f>
        <v>0</v>
      </c>
      <c r="V302" s="984">
        <v>0</v>
      </c>
      <c r="W302" s="984">
        <v>0</v>
      </c>
    </row>
    <row r="303" spans="1:23" s="404" customFormat="1" ht="13.5" customHeight="1">
      <c r="A303" s="972"/>
      <c r="B303" s="992"/>
      <c r="C303" s="970"/>
      <c r="D303" s="1003"/>
      <c r="E303" s="974"/>
      <c r="F303" s="974"/>
      <c r="G303" s="992"/>
      <c r="H303" s="403">
        <v>4319573</v>
      </c>
      <c r="I303" s="403">
        <v>575943</v>
      </c>
      <c r="J303" s="989"/>
      <c r="K303" s="989"/>
      <c r="L303" s="985"/>
      <c r="M303" s="985"/>
      <c r="N303" s="989"/>
      <c r="O303" s="989"/>
      <c r="P303" s="985"/>
      <c r="Q303" s="985"/>
      <c r="R303" s="989"/>
      <c r="S303" s="985"/>
      <c r="T303" s="985"/>
      <c r="U303" s="989"/>
      <c r="V303" s="985"/>
      <c r="W303" s="985"/>
    </row>
    <row r="304" spans="1:23" s="404" customFormat="1" ht="13.5" customHeight="1">
      <c r="A304" s="972"/>
      <c r="B304" s="992"/>
      <c r="C304" s="970"/>
      <c r="D304" s="1003"/>
      <c r="E304" s="974"/>
      <c r="F304" s="974"/>
      <c r="G304" s="992"/>
      <c r="H304" s="403">
        <v>762278</v>
      </c>
      <c r="I304" s="403">
        <v>101637</v>
      </c>
      <c r="J304" s="989"/>
      <c r="K304" s="989"/>
      <c r="L304" s="985"/>
      <c r="M304" s="985"/>
      <c r="N304" s="989"/>
      <c r="O304" s="989"/>
      <c r="P304" s="985"/>
      <c r="Q304" s="985"/>
      <c r="R304" s="989"/>
      <c r="S304" s="985"/>
      <c r="T304" s="985"/>
      <c r="U304" s="989"/>
      <c r="V304" s="985"/>
      <c r="W304" s="985"/>
    </row>
    <row r="305" spans="1:23" s="404" customFormat="1" ht="13.5" customHeight="1">
      <c r="A305" s="972"/>
      <c r="B305" s="992"/>
      <c r="C305" s="970"/>
      <c r="D305" s="1003"/>
      <c r="E305" s="974"/>
      <c r="F305" s="974"/>
      <c r="G305" s="992"/>
      <c r="H305" s="403">
        <v>0</v>
      </c>
      <c r="I305" s="403">
        <v>0</v>
      </c>
      <c r="J305" s="989"/>
      <c r="K305" s="989"/>
      <c r="L305" s="985"/>
      <c r="M305" s="985"/>
      <c r="N305" s="989"/>
      <c r="O305" s="989"/>
      <c r="P305" s="985"/>
      <c r="Q305" s="985"/>
      <c r="R305" s="989"/>
      <c r="S305" s="985"/>
      <c r="T305" s="985"/>
      <c r="U305" s="989"/>
      <c r="V305" s="985"/>
      <c r="W305" s="985"/>
    </row>
    <row r="306" spans="1:23" s="404" customFormat="1" ht="13.5" customHeight="1">
      <c r="A306" s="972"/>
      <c r="B306" s="993"/>
      <c r="C306" s="970"/>
      <c r="D306" s="1004"/>
      <c r="E306" s="975"/>
      <c r="F306" s="975"/>
      <c r="G306" s="993"/>
      <c r="H306" s="403">
        <v>0</v>
      </c>
      <c r="I306" s="403">
        <v>0</v>
      </c>
      <c r="J306" s="990"/>
      <c r="K306" s="990"/>
      <c r="L306" s="986"/>
      <c r="M306" s="986"/>
      <c r="N306" s="990"/>
      <c r="O306" s="990"/>
      <c r="P306" s="986"/>
      <c r="Q306" s="986"/>
      <c r="R306" s="990"/>
      <c r="S306" s="986"/>
      <c r="T306" s="986"/>
      <c r="U306" s="990"/>
      <c r="V306" s="986"/>
      <c r="W306" s="986"/>
    </row>
    <row r="307" spans="1:23" s="404" customFormat="1" ht="13.5" customHeight="1">
      <c r="A307" s="972">
        <v>58</v>
      </c>
      <c r="B307" s="991" t="s">
        <v>626</v>
      </c>
      <c r="C307" s="970" t="s">
        <v>620</v>
      </c>
      <c r="D307" s="1002" t="s">
        <v>627</v>
      </c>
      <c r="E307" s="973" t="s">
        <v>502</v>
      </c>
      <c r="F307" s="973" t="s">
        <v>624</v>
      </c>
      <c r="G307" s="991" t="s">
        <v>609</v>
      </c>
      <c r="H307" s="403">
        <f>H308+H309+H310+H311</f>
        <v>7483300</v>
      </c>
      <c r="I307" s="403">
        <f>I308+I309+I310+I311</f>
        <v>0</v>
      </c>
      <c r="J307" s="988">
        <f>K307+N307</f>
        <v>1537250</v>
      </c>
      <c r="K307" s="988">
        <f>L307+M307</f>
        <v>1306662</v>
      </c>
      <c r="L307" s="984">
        <v>1306662</v>
      </c>
      <c r="M307" s="984">
        <v>0</v>
      </c>
      <c r="N307" s="988">
        <f>O307+R307+U307</f>
        <v>230588</v>
      </c>
      <c r="O307" s="988">
        <f>P307+Q307</f>
        <v>230588</v>
      </c>
      <c r="P307" s="984">
        <v>230588</v>
      </c>
      <c r="Q307" s="984">
        <v>0</v>
      </c>
      <c r="R307" s="988">
        <f>S307+T307</f>
        <v>0</v>
      </c>
      <c r="S307" s="984">
        <v>0</v>
      </c>
      <c r="T307" s="984">
        <v>0</v>
      </c>
      <c r="U307" s="988">
        <f>V307+W307</f>
        <v>0</v>
      </c>
      <c r="V307" s="984">
        <v>0</v>
      </c>
      <c r="W307" s="984">
        <v>0</v>
      </c>
    </row>
    <row r="308" spans="1:23" s="404" customFormat="1" ht="13.5" customHeight="1">
      <c r="A308" s="972"/>
      <c r="B308" s="992"/>
      <c r="C308" s="970"/>
      <c r="D308" s="1003"/>
      <c r="E308" s="974"/>
      <c r="F308" s="974"/>
      <c r="G308" s="992"/>
      <c r="H308" s="403">
        <v>6360805</v>
      </c>
      <c r="I308" s="403">
        <v>0</v>
      </c>
      <c r="J308" s="989"/>
      <c r="K308" s="989"/>
      <c r="L308" s="985"/>
      <c r="M308" s="985"/>
      <c r="N308" s="989"/>
      <c r="O308" s="989"/>
      <c r="P308" s="985"/>
      <c r="Q308" s="985"/>
      <c r="R308" s="989"/>
      <c r="S308" s="985"/>
      <c r="T308" s="985"/>
      <c r="U308" s="989"/>
      <c r="V308" s="985"/>
      <c r="W308" s="985"/>
    </row>
    <row r="309" spans="1:23" s="404" customFormat="1" ht="13.5" customHeight="1">
      <c r="A309" s="972"/>
      <c r="B309" s="992"/>
      <c r="C309" s="970"/>
      <c r="D309" s="1003"/>
      <c r="E309" s="974"/>
      <c r="F309" s="974"/>
      <c r="G309" s="992"/>
      <c r="H309" s="403">
        <v>1122495</v>
      </c>
      <c r="I309" s="403">
        <v>0</v>
      </c>
      <c r="J309" s="989"/>
      <c r="K309" s="989"/>
      <c r="L309" s="985"/>
      <c r="M309" s="985"/>
      <c r="N309" s="989"/>
      <c r="O309" s="989"/>
      <c r="P309" s="985"/>
      <c r="Q309" s="985"/>
      <c r="R309" s="989"/>
      <c r="S309" s="985"/>
      <c r="T309" s="985"/>
      <c r="U309" s="989"/>
      <c r="V309" s="985"/>
      <c r="W309" s="985"/>
    </row>
    <row r="310" spans="1:23" s="404" customFormat="1" ht="13.5" customHeight="1">
      <c r="A310" s="972"/>
      <c r="B310" s="992"/>
      <c r="C310" s="970"/>
      <c r="D310" s="1003"/>
      <c r="E310" s="974"/>
      <c r="F310" s="974"/>
      <c r="G310" s="992"/>
      <c r="H310" s="403">
        <v>0</v>
      </c>
      <c r="I310" s="403">
        <v>0</v>
      </c>
      <c r="J310" s="989"/>
      <c r="K310" s="989"/>
      <c r="L310" s="985"/>
      <c r="M310" s="985"/>
      <c r="N310" s="989"/>
      <c r="O310" s="989"/>
      <c r="P310" s="985"/>
      <c r="Q310" s="985"/>
      <c r="R310" s="989"/>
      <c r="S310" s="985"/>
      <c r="T310" s="985"/>
      <c r="U310" s="989"/>
      <c r="V310" s="985"/>
      <c r="W310" s="985"/>
    </row>
    <row r="311" spans="1:23" s="404" customFormat="1" ht="13.5" customHeight="1">
      <c r="A311" s="972"/>
      <c r="B311" s="993"/>
      <c r="C311" s="970"/>
      <c r="D311" s="1004"/>
      <c r="E311" s="975"/>
      <c r="F311" s="975"/>
      <c r="G311" s="993"/>
      <c r="H311" s="403">
        <v>0</v>
      </c>
      <c r="I311" s="403">
        <v>0</v>
      </c>
      <c r="J311" s="990"/>
      <c r="K311" s="990"/>
      <c r="L311" s="986"/>
      <c r="M311" s="986"/>
      <c r="N311" s="990"/>
      <c r="O311" s="990"/>
      <c r="P311" s="986"/>
      <c r="Q311" s="986"/>
      <c r="R311" s="990"/>
      <c r="S311" s="986"/>
      <c r="T311" s="986"/>
      <c r="U311" s="990"/>
      <c r="V311" s="986"/>
      <c r="W311" s="986"/>
    </row>
    <row r="312" spans="1:23" s="404" customFormat="1" ht="13.5" customHeight="1">
      <c r="A312" s="972">
        <v>59</v>
      </c>
      <c r="B312" s="991" t="s">
        <v>628</v>
      </c>
      <c r="C312" s="970" t="s">
        <v>629</v>
      </c>
      <c r="D312" s="1002" t="s">
        <v>630</v>
      </c>
      <c r="E312" s="973" t="s">
        <v>502</v>
      </c>
      <c r="F312" s="973" t="s">
        <v>631</v>
      </c>
      <c r="G312" s="991" t="s">
        <v>538</v>
      </c>
      <c r="H312" s="403">
        <f>H313+H314+H315+H316</f>
        <v>26644347</v>
      </c>
      <c r="I312" s="403">
        <f>I313+I314+I315+I316</f>
        <v>6706197</v>
      </c>
      <c r="J312" s="988">
        <f>K312+N312</f>
        <v>10259039</v>
      </c>
      <c r="K312" s="988">
        <f>L312+M312</f>
        <v>9588342</v>
      </c>
      <c r="L312" s="984">
        <v>9588342</v>
      </c>
      <c r="M312" s="984">
        <v>0</v>
      </c>
      <c r="N312" s="988">
        <f>O312+R312+U312</f>
        <v>670697</v>
      </c>
      <c r="O312" s="988">
        <f>P312+Q312</f>
        <v>564021</v>
      </c>
      <c r="P312" s="984">
        <v>564021</v>
      </c>
      <c r="Q312" s="984">
        <v>0</v>
      </c>
      <c r="R312" s="988">
        <f>S312+T312</f>
        <v>106676</v>
      </c>
      <c r="S312" s="984">
        <v>106676</v>
      </c>
      <c r="T312" s="984">
        <v>0</v>
      </c>
      <c r="U312" s="988">
        <f>V312+W312</f>
        <v>0</v>
      </c>
      <c r="V312" s="984">
        <v>0</v>
      </c>
      <c r="W312" s="984">
        <v>0</v>
      </c>
    </row>
    <row r="313" spans="1:23" s="404" customFormat="1" ht="13.5" customHeight="1">
      <c r="A313" s="972"/>
      <c r="B313" s="992"/>
      <c r="C313" s="970"/>
      <c r="D313" s="1003"/>
      <c r="E313" s="974"/>
      <c r="F313" s="974"/>
      <c r="G313" s="992"/>
      <c r="H313" s="403">
        <v>24793944</v>
      </c>
      <c r="I313" s="403">
        <v>6261389</v>
      </c>
      <c r="J313" s="989"/>
      <c r="K313" s="989"/>
      <c r="L313" s="985"/>
      <c r="M313" s="985"/>
      <c r="N313" s="989"/>
      <c r="O313" s="989"/>
      <c r="P313" s="985"/>
      <c r="Q313" s="985"/>
      <c r="R313" s="989"/>
      <c r="S313" s="985"/>
      <c r="T313" s="985"/>
      <c r="U313" s="989"/>
      <c r="V313" s="985"/>
      <c r="W313" s="985"/>
    </row>
    <row r="314" spans="1:23" s="404" customFormat="1" ht="13.5" customHeight="1">
      <c r="A314" s="972"/>
      <c r="B314" s="992"/>
      <c r="C314" s="970"/>
      <c r="D314" s="1003"/>
      <c r="E314" s="974"/>
      <c r="F314" s="974"/>
      <c r="G314" s="992"/>
      <c r="H314" s="403">
        <v>1458468</v>
      </c>
      <c r="I314" s="403">
        <v>368319</v>
      </c>
      <c r="J314" s="989"/>
      <c r="K314" s="989"/>
      <c r="L314" s="985"/>
      <c r="M314" s="985"/>
      <c r="N314" s="989"/>
      <c r="O314" s="989"/>
      <c r="P314" s="985"/>
      <c r="Q314" s="985"/>
      <c r="R314" s="989"/>
      <c r="S314" s="985"/>
      <c r="T314" s="985"/>
      <c r="U314" s="989"/>
      <c r="V314" s="985"/>
      <c r="W314" s="985"/>
    </row>
    <row r="315" spans="1:23" s="404" customFormat="1" ht="13.5" customHeight="1">
      <c r="A315" s="972"/>
      <c r="B315" s="992"/>
      <c r="C315" s="970"/>
      <c r="D315" s="1003"/>
      <c r="E315" s="974"/>
      <c r="F315" s="974"/>
      <c r="G315" s="992"/>
      <c r="H315" s="403">
        <v>391935</v>
      </c>
      <c r="I315" s="403">
        <v>76489</v>
      </c>
      <c r="J315" s="989"/>
      <c r="K315" s="989"/>
      <c r="L315" s="985"/>
      <c r="M315" s="985"/>
      <c r="N315" s="989"/>
      <c r="O315" s="989"/>
      <c r="P315" s="985"/>
      <c r="Q315" s="985"/>
      <c r="R315" s="989"/>
      <c r="S315" s="985"/>
      <c r="T315" s="985"/>
      <c r="U315" s="989"/>
      <c r="V315" s="985"/>
      <c r="W315" s="985"/>
    </row>
    <row r="316" spans="1:23" s="404" customFormat="1" ht="13.5" customHeight="1">
      <c r="A316" s="972"/>
      <c r="B316" s="993"/>
      <c r="C316" s="970"/>
      <c r="D316" s="1004"/>
      <c r="E316" s="975"/>
      <c r="F316" s="975"/>
      <c r="G316" s="993"/>
      <c r="H316" s="403">
        <v>0</v>
      </c>
      <c r="I316" s="403">
        <v>0</v>
      </c>
      <c r="J316" s="990"/>
      <c r="K316" s="990"/>
      <c r="L316" s="986"/>
      <c r="M316" s="986"/>
      <c r="N316" s="990"/>
      <c r="O316" s="990"/>
      <c r="P316" s="986"/>
      <c r="Q316" s="986"/>
      <c r="R316" s="990"/>
      <c r="S316" s="986"/>
      <c r="T316" s="986"/>
      <c r="U316" s="990"/>
      <c r="V316" s="986"/>
      <c r="W316" s="986"/>
    </row>
    <row r="317" spans="1:23" s="407" customFormat="1" ht="13.5" customHeight="1">
      <c r="A317" s="966" t="s">
        <v>632</v>
      </c>
      <c r="B317" s="966"/>
      <c r="C317" s="966"/>
      <c r="D317" s="966"/>
      <c r="E317" s="966"/>
      <c r="F317" s="966"/>
      <c r="G317" s="966"/>
      <c r="H317" s="406">
        <f>H17+H22+H27+H32+H37+H42+H47+H52+H57+H62+H67+H72+H77+H82+H87+H92+H97+H102+H107+H112+H117+H122+H127+H132+H137+H142+H147+H152+H162+H167+H172+H177+H182+H187+H192+H197+H202+H207+H212+H217+H222+H227+H232+H237+H242+H247+H252+H257+H262+H267+H272+H277+H282+H287+H292+H297+H302+H307+H312</f>
        <v>1216083099</v>
      </c>
      <c r="I317" s="406">
        <f>I17+I22+I27+I32+I37+I42+I47+I52+I57+I62+I67+I72+I77+I82+I87+I92+I97+I102+I107+I112+I117+I122+I127+I132+I137+I142+I147+I152+I162+I167+I172+I177+I182+I187+I192+I197+I202+I207+I212+I217+I222+I227+I232+I237+I242+I247+I252+I257+I262+I267+I272+I277+I282+I287+I292+I297+I302+I307+I312</f>
        <v>232606743</v>
      </c>
      <c r="J317" s="1000">
        <f aca="true" t="shared" si="0" ref="J317:W317">SUM(J17:J316)</f>
        <v>413431777</v>
      </c>
      <c r="K317" s="1000">
        <f t="shared" si="0"/>
        <v>346940583</v>
      </c>
      <c r="L317" s="1000">
        <f t="shared" si="0"/>
        <v>56294863</v>
      </c>
      <c r="M317" s="1000">
        <f t="shared" si="0"/>
        <v>290645720</v>
      </c>
      <c r="N317" s="1000">
        <f t="shared" si="0"/>
        <v>66491194</v>
      </c>
      <c r="O317" s="1000">
        <f t="shared" si="0"/>
        <v>2774942</v>
      </c>
      <c r="P317" s="1000">
        <f t="shared" si="0"/>
        <v>2774942</v>
      </c>
      <c r="Q317" s="1000">
        <f t="shared" si="0"/>
        <v>0</v>
      </c>
      <c r="R317" s="1000">
        <f t="shared" si="0"/>
        <v>47063053</v>
      </c>
      <c r="S317" s="1000">
        <f t="shared" si="0"/>
        <v>3183360</v>
      </c>
      <c r="T317" s="1000">
        <f t="shared" si="0"/>
        <v>43879693</v>
      </c>
      <c r="U317" s="1000">
        <f t="shared" si="0"/>
        <v>16653199</v>
      </c>
      <c r="V317" s="1000">
        <f t="shared" si="0"/>
        <v>1179397</v>
      </c>
      <c r="W317" s="1000">
        <f t="shared" si="0"/>
        <v>15473802</v>
      </c>
    </row>
    <row r="318" spans="1:23" s="407" customFormat="1" ht="13.5" customHeight="1">
      <c r="A318" s="966"/>
      <c r="B318" s="966"/>
      <c r="C318" s="966"/>
      <c r="D318" s="966"/>
      <c r="E318" s="966"/>
      <c r="F318" s="966"/>
      <c r="G318" s="966"/>
      <c r="H318" s="406">
        <f aca="true" t="shared" si="1" ref="H318:I321">H18+H23+H28+H33+H38+H43+H48+H53+H58+H63+H68+H73+H78+H83+H88+H93+H98+H103+H108+H113+H118+H123+H128+H133+H138+H143+H148+H153+H163+H168+H173+H178+H183+H188+H193+H198+H203+H208+H213+H218+H223+H228+H233+H238+H243+H248+H253+H258+H263+H268+H273+H278+H283+H288+H293+H298+H303+H308+H313</f>
        <v>1020229321</v>
      </c>
      <c r="I318" s="406">
        <f t="shared" si="1"/>
        <v>176876294</v>
      </c>
      <c r="J318" s="1000"/>
      <c r="K318" s="1000"/>
      <c r="L318" s="1000"/>
      <c r="M318" s="1000"/>
      <c r="N318" s="1000"/>
      <c r="O318" s="1000"/>
      <c r="P318" s="1000"/>
      <c r="Q318" s="1000"/>
      <c r="R318" s="1000"/>
      <c r="S318" s="1000"/>
      <c r="T318" s="1000"/>
      <c r="U318" s="1000"/>
      <c r="V318" s="1000"/>
      <c r="W318" s="1000"/>
    </row>
    <row r="319" spans="1:23" s="407" customFormat="1" ht="13.5" customHeight="1">
      <c r="A319" s="966"/>
      <c r="B319" s="966"/>
      <c r="C319" s="966"/>
      <c r="D319" s="966"/>
      <c r="E319" s="966"/>
      <c r="F319" s="966"/>
      <c r="G319" s="966"/>
      <c r="H319" s="406">
        <f t="shared" si="1"/>
        <v>9461685</v>
      </c>
      <c r="I319" s="406">
        <f t="shared" si="1"/>
        <v>3046730</v>
      </c>
      <c r="J319" s="1000"/>
      <c r="K319" s="1000"/>
      <c r="L319" s="1000"/>
      <c r="M319" s="1000"/>
      <c r="N319" s="1000"/>
      <c r="O319" s="1000"/>
      <c r="P319" s="1000"/>
      <c r="Q319" s="1000"/>
      <c r="R319" s="1000"/>
      <c r="S319" s="1000"/>
      <c r="T319" s="1000"/>
      <c r="U319" s="1000"/>
      <c r="V319" s="1000"/>
      <c r="W319" s="1000"/>
    </row>
    <row r="320" spans="1:23" s="407" customFormat="1" ht="13.5" customHeight="1">
      <c r="A320" s="966"/>
      <c r="B320" s="966"/>
      <c r="C320" s="966"/>
      <c r="D320" s="966"/>
      <c r="E320" s="966"/>
      <c r="F320" s="966"/>
      <c r="G320" s="966"/>
      <c r="H320" s="406">
        <f t="shared" si="1"/>
        <v>162718166</v>
      </c>
      <c r="I320" s="406">
        <f t="shared" si="1"/>
        <v>49074255</v>
      </c>
      <c r="J320" s="1000"/>
      <c r="K320" s="1000"/>
      <c r="L320" s="1000"/>
      <c r="M320" s="1000"/>
      <c r="N320" s="1000"/>
      <c r="O320" s="1000"/>
      <c r="P320" s="1000"/>
      <c r="Q320" s="1000"/>
      <c r="R320" s="1000"/>
      <c r="S320" s="1000"/>
      <c r="T320" s="1000"/>
      <c r="U320" s="1000"/>
      <c r="V320" s="1000"/>
      <c r="W320" s="1000"/>
    </row>
    <row r="321" spans="1:23" s="407" customFormat="1" ht="13.5" customHeight="1">
      <c r="A321" s="966"/>
      <c r="B321" s="966"/>
      <c r="C321" s="966"/>
      <c r="D321" s="966"/>
      <c r="E321" s="966"/>
      <c r="F321" s="966"/>
      <c r="G321" s="966"/>
      <c r="H321" s="406">
        <f t="shared" si="1"/>
        <v>23673927</v>
      </c>
      <c r="I321" s="406">
        <f t="shared" si="1"/>
        <v>3609464</v>
      </c>
      <c r="J321" s="1000"/>
      <c r="K321" s="1000"/>
      <c r="L321" s="1000"/>
      <c r="M321" s="1000"/>
      <c r="N321" s="1000"/>
      <c r="O321" s="1000"/>
      <c r="P321" s="1000"/>
      <c r="Q321" s="1000"/>
      <c r="R321" s="1000"/>
      <c r="S321" s="1000"/>
      <c r="T321" s="1000"/>
      <c r="U321" s="1000"/>
      <c r="V321" s="1000"/>
      <c r="W321" s="1000"/>
    </row>
    <row r="322" spans="1:23" ht="6.75" customHeight="1">
      <c r="A322" s="1001"/>
      <c r="B322" s="1001"/>
      <c r="C322" s="1001"/>
      <c r="D322" s="1001"/>
      <c r="E322" s="1001"/>
      <c r="F322" s="1001"/>
      <c r="G322" s="1001"/>
      <c r="H322" s="1001"/>
      <c r="I322" s="1001"/>
      <c r="J322" s="1001"/>
      <c r="K322" s="1001"/>
      <c r="L322" s="1001"/>
      <c r="M322" s="1001"/>
      <c r="N322" s="1001"/>
      <c r="O322" s="1001"/>
      <c r="P322" s="1001"/>
      <c r="Q322" s="1001"/>
      <c r="R322" s="1001"/>
      <c r="S322" s="1001"/>
      <c r="T322" s="1001"/>
      <c r="U322" s="1001"/>
      <c r="V322" s="1001"/>
      <c r="W322" s="1001"/>
    </row>
    <row r="323" spans="1:24" s="400" customFormat="1" ht="20.25" customHeight="1">
      <c r="A323" s="979" t="s">
        <v>633</v>
      </c>
      <c r="B323" s="980"/>
      <c r="C323" s="980"/>
      <c r="D323" s="980"/>
      <c r="E323" s="980"/>
      <c r="F323" s="980"/>
      <c r="G323" s="980"/>
      <c r="H323" s="980"/>
      <c r="I323" s="980"/>
      <c r="J323" s="980"/>
      <c r="K323" s="980"/>
      <c r="L323" s="980"/>
      <c r="M323" s="980"/>
      <c r="N323" s="980"/>
      <c r="O323" s="980"/>
      <c r="P323" s="980"/>
      <c r="Q323" s="980"/>
      <c r="R323" s="980"/>
      <c r="S323" s="980"/>
      <c r="T323" s="980"/>
      <c r="U323" s="980"/>
      <c r="V323" s="980"/>
      <c r="W323" s="981"/>
      <c r="X323" s="401"/>
    </row>
    <row r="324" spans="1:23" ht="6.75" customHeight="1">
      <c r="A324" s="1001"/>
      <c r="B324" s="1001"/>
      <c r="C324" s="1001"/>
      <c r="D324" s="1001"/>
      <c r="E324" s="1001"/>
      <c r="F324" s="1001"/>
      <c r="G324" s="1001"/>
      <c r="H324" s="1001"/>
      <c r="I324" s="1001"/>
      <c r="J324" s="1001"/>
      <c r="K324" s="1001"/>
      <c r="L324" s="1001"/>
      <c r="M324" s="1001"/>
      <c r="N324" s="1001"/>
      <c r="O324" s="1001"/>
      <c r="P324" s="1001"/>
      <c r="Q324" s="1001"/>
      <c r="R324" s="1001"/>
      <c r="S324" s="1001"/>
      <c r="T324" s="1001"/>
      <c r="U324" s="1001"/>
      <c r="V324" s="1001"/>
      <c r="W324" s="1001"/>
    </row>
    <row r="325" spans="1:23" ht="13.5" customHeight="1">
      <c r="A325" s="968">
        <v>1</v>
      </c>
      <c r="B325" s="969" t="s">
        <v>634</v>
      </c>
      <c r="C325" s="968" t="s">
        <v>635</v>
      </c>
      <c r="D325" s="971" t="s">
        <v>636</v>
      </c>
      <c r="E325" s="968" t="s">
        <v>502</v>
      </c>
      <c r="F325" s="972" t="s">
        <v>637</v>
      </c>
      <c r="G325" s="972" t="s">
        <v>507</v>
      </c>
      <c r="H325" s="403">
        <f>H326+H328+H327+H329</f>
        <v>106164008</v>
      </c>
      <c r="I325" s="403">
        <f>I326+I328+I327+I329</f>
        <v>33418336</v>
      </c>
      <c r="J325" s="967">
        <f>K325+N325</f>
        <v>34716470</v>
      </c>
      <c r="K325" s="967">
        <f>L325+M325</f>
        <v>29509000</v>
      </c>
      <c r="L325" s="965">
        <v>29499650</v>
      </c>
      <c r="M325" s="965">
        <v>9350</v>
      </c>
      <c r="N325" s="967">
        <f>O325+R325+U325</f>
        <v>5207470</v>
      </c>
      <c r="O325" s="967">
        <f>P325+Q325</f>
        <v>0</v>
      </c>
      <c r="P325" s="965">
        <v>0</v>
      </c>
      <c r="Q325" s="965">
        <v>0</v>
      </c>
      <c r="R325" s="967">
        <f>S325+T325</f>
        <v>5207470</v>
      </c>
      <c r="S325" s="965">
        <v>5205820</v>
      </c>
      <c r="T325" s="965">
        <v>1650</v>
      </c>
      <c r="U325" s="967">
        <f>V325+W325</f>
        <v>0</v>
      </c>
      <c r="V325" s="965">
        <v>0</v>
      </c>
      <c r="W325" s="965">
        <v>0</v>
      </c>
    </row>
    <row r="326" spans="1:23" ht="13.5" customHeight="1">
      <c r="A326" s="968"/>
      <c r="B326" s="969"/>
      <c r="C326" s="968"/>
      <c r="D326" s="971"/>
      <c r="E326" s="968"/>
      <c r="F326" s="972"/>
      <c r="G326" s="972"/>
      <c r="H326" s="403">
        <v>90239406</v>
      </c>
      <c r="I326" s="403">
        <v>28405584</v>
      </c>
      <c r="J326" s="967"/>
      <c r="K326" s="967"/>
      <c r="L326" s="965"/>
      <c r="M326" s="965"/>
      <c r="N326" s="967"/>
      <c r="O326" s="967"/>
      <c r="P326" s="965"/>
      <c r="Q326" s="965"/>
      <c r="R326" s="967"/>
      <c r="S326" s="965"/>
      <c r="T326" s="965"/>
      <c r="U326" s="967"/>
      <c r="V326" s="965"/>
      <c r="W326" s="965"/>
    </row>
    <row r="327" spans="1:23" ht="13.5" customHeight="1">
      <c r="A327" s="968"/>
      <c r="B327" s="969"/>
      <c r="C327" s="968"/>
      <c r="D327" s="971"/>
      <c r="E327" s="968"/>
      <c r="F327" s="972"/>
      <c r="G327" s="972"/>
      <c r="H327" s="403">
        <v>0</v>
      </c>
      <c r="I327" s="403">
        <v>0</v>
      </c>
      <c r="J327" s="967"/>
      <c r="K327" s="967"/>
      <c r="L327" s="965"/>
      <c r="M327" s="965"/>
      <c r="N327" s="967"/>
      <c r="O327" s="967"/>
      <c r="P327" s="965"/>
      <c r="Q327" s="965"/>
      <c r="R327" s="967"/>
      <c r="S327" s="965"/>
      <c r="T327" s="965"/>
      <c r="U327" s="967"/>
      <c r="V327" s="965"/>
      <c r="W327" s="965"/>
    </row>
    <row r="328" spans="1:23" ht="13.5" customHeight="1">
      <c r="A328" s="968"/>
      <c r="B328" s="969"/>
      <c r="C328" s="968"/>
      <c r="D328" s="971"/>
      <c r="E328" s="968"/>
      <c r="F328" s="972"/>
      <c r="G328" s="972"/>
      <c r="H328" s="403">
        <v>15924602</v>
      </c>
      <c r="I328" s="403">
        <v>5012752</v>
      </c>
      <c r="J328" s="967"/>
      <c r="K328" s="967"/>
      <c r="L328" s="965"/>
      <c r="M328" s="965"/>
      <c r="N328" s="967"/>
      <c r="O328" s="967"/>
      <c r="P328" s="965"/>
      <c r="Q328" s="965"/>
      <c r="R328" s="967"/>
      <c r="S328" s="965"/>
      <c r="T328" s="965"/>
      <c r="U328" s="967"/>
      <c r="V328" s="965"/>
      <c r="W328" s="965"/>
    </row>
    <row r="329" spans="1:23" ht="13.5" customHeight="1">
      <c r="A329" s="968"/>
      <c r="B329" s="969"/>
      <c r="C329" s="968"/>
      <c r="D329" s="971"/>
      <c r="E329" s="968"/>
      <c r="F329" s="972"/>
      <c r="G329" s="972"/>
      <c r="H329" s="403">
        <v>0</v>
      </c>
      <c r="I329" s="403">
        <v>0</v>
      </c>
      <c r="J329" s="967"/>
      <c r="K329" s="967"/>
      <c r="L329" s="965"/>
      <c r="M329" s="965"/>
      <c r="N329" s="967"/>
      <c r="O329" s="967"/>
      <c r="P329" s="965"/>
      <c r="Q329" s="965"/>
      <c r="R329" s="967"/>
      <c r="S329" s="965"/>
      <c r="T329" s="965"/>
      <c r="U329" s="967"/>
      <c r="V329" s="965"/>
      <c r="W329" s="965"/>
    </row>
    <row r="330" spans="1:23" ht="13.5" customHeight="1">
      <c r="A330" s="968">
        <v>2</v>
      </c>
      <c r="B330" s="969" t="s">
        <v>634</v>
      </c>
      <c r="C330" s="968" t="s">
        <v>635</v>
      </c>
      <c r="D330" s="971" t="s">
        <v>636</v>
      </c>
      <c r="E330" s="968" t="s">
        <v>638</v>
      </c>
      <c r="F330" s="973" t="s">
        <v>639</v>
      </c>
      <c r="G330" s="972" t="s">
        <v>507</v>
      </c>
      <c r="H330" s="403">
        <f>H331+H333+H332+H334</f>
        <v>5635992</v>
      </c>
      <c r="I330" s="403">
        <f>I331+I333+I332+I334</f>
        <v>1812488</v>
      </c>
      <c r="J330" s="967">
        <f>K330+N330</f>
        <v>1900000</v>
      </c>
      <c r="K330" s="967">
        <f>L330+M330</f>
        <v>1615000</v>
      </c>
      <c r="L330" s="965">
        <v>1615000</v>
      </c>
      <c r="M330" s="965">
        <v>0</v>
      </c>
      <c r="N330" s="967">
        <f>O330+R330+U330</f>
        <v>285000</v>
      </c>
      <c r="O330" s="967">
        <f>P330+Q330</f>
        <v>0</v>
      </c>
      <c r="P330" s="965">
        <v>0</v>
      </c>
      <c r="Q330" s="965">
        <v>0</v>
      </c>
      <c r="R330" s="967">
        <f>S330+T330</f>
        <v>285000</v>
      </c>
      <c r="S330" s="965">
        <v>285000</v>
      </c>
      <c r="T330" s="965">
        <v>0</v>
      </c>
      <c r="U330" s="967">
        <f>V330+W330</f>
        <v>0</v>
      </c>
      <c r="V330" s="965">
        <v>0</v>
      </c>
      <c r="W330" s="965">
        <v>0</v>
      </c>
    </row>
    <row r="331" spans="1:23" ht="13.5" customHeight="1">
      <c r="A331" s="968"/>
      <c r="B331" s="969"/>
      <c r="C331" s="968"/>
      <c r="D331" s="971"/>
      <c r="E331" s="968"/>
      <c r="F331" s="974"/>
      <c r="G331" s="972"/>
      <c r="H331" s="403">
        <v>4790594</v>
      </c>
      <c r="I331" s="403">
        <v>1540616</v>
      </c>
      <c r="J331" s="967"/>
      <c r="K331" s="967"/>
      <c r="L331" s="965"/>
      <c r="M331" s="965"/>
      <c r="N331" s="967"/>
      <c r="O331" s="967"/>
      <c r="P331" s="965"/>
      <c r="Q331" s="965"/>
      <c r="R331" s="967"/>
      <c r="S331" s="965"/>
      <c r="T331" s="965"/>
      <c r="U331" s="967"/>
      <c r="V331" s="965"/>
      <c r="W331" s="965"/>
    </row>
    <row r="332" spans="1:23" ht="13.5" customHeight="1">
      <c r="A332" s="968"/>
      <c r="B332" s="969"/>
      <c r="C332" s="968"/>
      <c r="D332" s="971"/>
      <c r="E332" s="968"/>
      <c r="F332" s="974"/>
      <c r="G332" s="972"/>
      <c r="H332" s="403">
        <v>0</v>
      </c>
      <c r="I332" s="403">
        <v>0</v>
      </c>
      <c r="J332" s="967"/>
      <c r="K332" s="967"/>
      <c r="L332" s="965"/>
      <c r="M332" s="965"/>
      <c r="N332" s="967"/>
      <c r="O332" s="967"/>
      <c r="P332" s="965"/>
      <c r="Q332" s="965"/>
      <c r="R332" s="967"/>
      <c r="S332" s="965"/>
      <c r="T332" s="965"/>
      <c r="U332" s="967"/>
      <c r="V332" s="965"/>
      <c r="W332" s="965"/>
    </row>
    <row r="333" spans="1:23" ht="13.5" customHeight="1">
      <c r="A333" s="968"/>
      <c r="B333" s="969"/>
      <c r="C333" s="968"/>
      <c r="D333" s="971"/>
      <c r="E333" s="968"/>
      <c r="F333" s="974"/>
      <c r="G333" s="972"/>
      <c r="H333" s="403">
        <v>845398</v>
      </c>
      <c r="I333" s="403">
        <v>271872</v>
      </c>
      <c r="J333" s="967"/>
      <c r="K333" s="967"/>
      <c r="L333" s="965"/>
      <c r="M333" s="965"/>
      <c r="N333" s="967"/>
      <c r="O333" s="967"/>
      <c r="P333" s="965"/>
      <c r="Q333" s="965"/>
      <c r="R333" s="967"/>
      <c r="S333" s="965"/>
      <c r="T333" s="965"/>
      <c r="U333" s="967"/>
      <c r="V333" s="965"/>
      <c r="W333" s="965"/>
    </row>
    <row r="334" spans="1:23" ht="13.5" customHeight="1">
      <c r="A334" s="968"/>
      <c r="B334" s="969"/>
      <c r="C334" s="968"/>
      <c r="D334" s="971"/>
      <c r="E334" s="968"/>
      <c r="F334" s="975"/>
      <c r="G334" s="972"/>
      <c r="H334" s="403">
        <v>0</v>
      </c>
      <c r="I334" s="403">
        <v>0</v>
      </c>
      <c r="J334" s="967"/>
      <c r="K334" s="967"/>
      <c r="L334" s="965"/>
      <c r="M334" s="965"/>
      <c r="N334" s="967"/>
      <c r="O334" s="967"/>
      <c r="P334" s="965"/>
      <c r="Q334" s="965"/>
      <c r="R334" s="967"/>
      <c r="S334" s="965"/>
      <c r="T334" s="965"/>
      <c r="U334" s="967"/>
      <c r="V334" s="965"/>
      <c r="W334" s="965"/>
    </row>
    <row r="335" spans="1:23" ht="13.5" customHeight="1">
      <c r="A335" s="991">
        <v>3</v>
      </c>
      <c r="B335" s="994" t="s">
        <v>640</v>
      </c>
      <c r="C335" s="991">
        <v>123</v>
      </c>
      <c r="D335" s="997" t="s">
        <v>641</v>
      </c>
      <c r="E335" s="991" t="s">
        <v>502</v>
      </c>
      <c r="F335" s="973" t="s">
        <v>637</v>
      </c>
      <c r="G335" s="973">
        <v>2019</v>
      </c>
      <c r="H335" s="403">
        <f>H336+H338+H337+H339</f>
        <v>2270000</v>
      </c>
      <c r="I335" s="403">
        <f>I336+I338+I337+I339</f>
        <v>0</v>
      </c>
      <c r="J335" s="988">
        <f>K335+N335</f>
        <v>2270000</v>
      </c>
      <c r="K335" s="988">
        <f>L335+M335</f>
        <v>1929500</v>
      </c>
      <c r="L335" s="984">
        <v>1929500</v>
      </c>
      <c r="M335" s="984">
        <v>0</v>
      </c>
      <c r="N335" s="988">
        <f>O335+R335+U335</f>
        <v>340500</v>
      </c>
      <c r="O335" s="988">
        <f>P335+Q335</f>
        <v>0</v>
      </c>
      <c r="P335" s="984">
        <v>0</v>
      </c>
      <c r="Q335" s="984">
        <v>0</v>
      </c>
      <c r="R335" s="988">
        <f>S335+T335</f>
        <v>340500</v>
      </c>
      <c r="S335" s="984">
        <v>340500</v>
      </c>
      <c r="T335" s="984">
        <v>0</v>
      </c>
      <c r="U335" s="988">
        <f>V335+W335</f>
        <v>0</v>
      </c>
      <c r="V335" s="984">
        <v>0</v>
      </c>
      <c r="W335" s="984">
        <v>0</v>
      </c>
    </row>
    <row r="336" spans="1:23" ht="13.5" customHeight="1">
      <c r="A336" s="992"/>
      <c r="B336" s="995"/>
      <c r="C336" s="992"/>
      <c r="D336" s="998"/>
      <c r="E336" s="992"/>
      <c r="F336" s="974"/>
      <c r="G336" s="974"/>
      <c r="H336" s="403">
        <f>K335</f>
        <v>1929500</v>
      </c>
      <c r="I336" s="403">
        <v>0</v>
      </c>
      <c r="J336" s="989"/>
      <c r="K336" s="989"/>
      <c r="L336" s="985"/>
      <c r="M336" s="985"/>
      <c r="N336" s="989"/>
      <c r="O336" s="989"/>
      <c r="P336" s="985"/>
      <c r="Q336" s="985"/>
      <c r="R336" s="989"/>
      <c r="S336" s="985"/>
      <c r="T336" s="985"/>
      <c r="U336" s="989"/>
      <c r="V336" s="985"/>
      <c r="W336" s="985"/>
    </row>
    <row r="337" spans="1:23" ht="13.5" customHeight="1">
      <c r="A337" s="992"/>
      <c r="B337" s="995"/>
      <c r="C337" s="992"/>
      <c r="D337" s="998"/>
      <c r="E337" s="992"/>
      <c r="F337" s="974"/>
      <c r="G337" s="974"/>
      <c r="H337" s="403">
        <v>0</v>
      </c>
      <c r="I337" s="403">
        <v>0</v>
      </c>
      <c r="J337" s="989"/>
      <c r="K337" s="989"/>
      <c r="L337" s="985"/>
      <c r="M337" s="985"/>
      <c r="N337" s="989"/>
      <c r="O337" s="989"/>
      <c r="P337" s="985"/>
      <c r="Q337" s="985"/>
      <c r="R337" s="989"/>
      <c r="S337" s="985"/>
      <c r="T337" s="985"/>
      <c r="U337" s="989"/>
      <c r="V337" s="985"/>
      <c r="W337" s="985"/>
    </row>
    <row r="338" spans="1:23" ht="13.5" customHeight="1">
      <c r="A338" s="992"/>
      <c r="B338" s="995"/>
      <c r="C338" s="992"/>
      <c r="D338" s="998"/>
      <c r="E338" s="992"/>
      <c r="F338" s="974"/>
      <c r="G338" s="974"/>
      <c r="H338" s="403">
        <f>R335</f>
        <v>340500</v>
      </c>
      <c r="I338" s="403">
        <v>0</v>
      </c>
      <c r="J338" s="989"/>
      <c r="K338" s="989"/>
      <c r="L338" s="985"/>
      <c r="M338" s="985"/>
      <c r="N338" s="989"/>
      <c r="O338" s="989"/>
      <c r="P338" s="985"/>
      <c r="Q338" s="985"/>
      <c r="R338" s="989"/>
      <c r="S338" s="985"/>
      <c r="T338" s="985"/>
      <c r="U338" s="989"/>
      <c r="V338" s="985"/>
      <c r="W338" s="985"/>
    </row>
    <row r="339" spans="1:23" ht="13.5" customHeight="1">
      <c r="A339" s="993"/>
      <c r="B339" s="996"/>
      <c r="C339" s="993"/>
      <c r="D339" s="999"/>
      <c r="E339" s="993"/>
      <c r="F339" s="975"/>
      <c r="G339" s="975"/>
      <c r="H339" s="403">
        <v>0</v>
      </c>
      <c r="I339" s="403">
        <v>0</v>
      </c>
      <c r="J339" s="990"/>
      <c r="K339" s="990"/>
      <c r="L339" s="986"/>
      <c r="M339" s="986"/>
      <c r="N339" s="990"/>
      <c r="O339" s="990"/>
      <c r="P339" s="986"/>
      <c r="Q339" s="986"/>
      <c r="R339" s="990"/>
      <c r="S339" s="986"/>
      <c r="T339" s="986"/>
      <c r="U339" s="990"/>
      <c r="V339" s="986"/>
      <c r="W339" s="986"/>
    </row>
    <row r="340" spans="1:23" ht="12.75" customHeight="1">
      <c r="A340" s="991">
        <v>4</v>
      </c>
      <c r="B340" s="994" t="s">
        <v>640</v>
      </c>
      <c r="C340" s="991">
        <v>123</v>
      </c>
      <c r="D340" s="997" t="s">
        <v>641</v>
      </c>
      <c r="E340" s="991" t="s">
        <v>638</v>
      </c>
      <c r="F340" s="973" t="s">
        <v>639</v>
      </c>
      <c r="G340" s="973">
        <v>2019</v>
      </c>
      <c r="H340" s="403">
        <f>H341+H343+H342+H344</f>
        <v>30000</v>
      </c>
      <c r="I340" s="403">
        <f>I341+I343+I342+I344</f>
        <v>0</v>
      </c>
      <c r="J340" s="988">
        <f>K340+N340</f>
        <v>30000</v>
      </c>
      <c r="K340" s="988">
        <f>L340+M340</f>
        <v>25500</v>
      </c>
      <c r="L340" s="984">
        <v>25500</v>
      </c>
      <c r="M340" s="984">
        <v>0</v>
      </c>
      <c r="N340" s="988">
        <f>O340+R340+U340</f>
        <v>4500</v>
      </c>
      <c r="O340" s="988">
        <f>P340+Q340</f>
        <v>0</v>
      </c>
      <c r="P340" s="984">
        <v>0</v>
      </c>
      <c r="Q340" s="984">
        <v>0</v>
      </c>
      <c r="R340" s="988">
        <f>S340+T340</f>
        <v>4500</v>
      </c>
      <c r="S340" s="984">
        <v>4500</v>
      </c>
      <c r="T340" s="984">
        <v>0</v>
      </c>
      <c r="U340" s="988">
        <f>V340+W340</f>
        <v>0</v>
      </c>
      <c r="V340" s="984">
        <v>0</v>
      </c>
      <c r="W340" s="984">
        <v>0</v>
      </c>
    </row>
    <row r="341" spans="1:23" ht="12.75" customHeight="1">
      <c r="A341" s="992"/>
      <c r="B341" s="995"/>
      <c r="C341" s="992"/>
      <c r="D341" s="998"/>
      <c r="E341" s="992"/>
      <c r="F341" s="974"/>
      <c r="G341" s="974"/>
      <c r="H341" s="403">
        <f>K340</f>
        <v>25500</v>
      </c>
      <c r="I341" s="403">
        <v>0</v>
      </c>
      <c r="J341" s="989"/>
      <c r="K341" s="989"/>
      <c r="L341" s="985"/>
      <c r="M341" s="985"/>
      <c r="N341" s="989"/>
      <c r="O341" s="989"/>
      <c r="P341" s="985"/>
      <c r="Q341" s="985"/>
      <c r="R341" s="989"/>
      <c r="S341" s="985"/>
      <c r="T341" s="985"/>
      <c r="U341" s="989"/>
      <c r="V341" s="985"/>
      <c r="W341" s="985"/>
    </row>
    <row r="342" spans="1:23" ht="12.75" customHeight="1">
      <c r="A342" s="992"/>
      <c r="B342" s="995"/>
      <c r="C342" s="992"/>
      <c r="D342" s="998"/>
      <c r="E342" s="992"/>
      <c r="F342" s="974"/>
      <c r="G342" s="974"/>
      <c r="H342" s="403">
        <v>0</v>
      </c>
      <c r="I342" s="403">
        <v>0</v>
      </c>
      <c r="J342" s="989"/>
      <c r="K342" s="989"/>
      <c r="L342" s="985"/>
      <c r="M342" s="985"/>
      <c r="N342" s="989"/>
      <c r="O342" s="989"/>
      <c r="P342" s="985"/>
      <c r="Q342" s="985"/>
      <c r="R342" s="989"/>
      <c r="S342" s="985"/>
      <c r="T342" s="985"/>
      <c r="U342" s="989"/>
      <c r="V342" s="985"/>
      <c r="W342" s="985"/>
    </row>
    <row r="343" spans="1:23" ht="12.75" customHeight="1">
      <c r="A343" s="992"/>
      <c r="B343" s="995"/>
      <c r="C343" s="992"/>
      <c r="D343" s="998"/>
      <c r="E343" s="992"/>
      <c r="F343" s="974"/>
      <c r="G343" s="974"/>
      <c r="H343" s="403">
        <f>R340</f>
        <v>4500</v>
      </c>
      <c r="I343" s="403">
        <v>0</v>
      </c>
      <c r="J343" s="989"/>
      <c r="K343" s="989"/>
      <c r="L343" s="985"/>
      <c r="M343" s="985"/>
      <c r="N343" s="989"/>
      <c r="O343" s="989"/>
      <c r="P343" s="985"/>
      <c r="Q343" s="985"/>
      <c r="R343" s="989"/>
      <c r="S343" s="985"/>
      <c r="T343" s="985"/>
      <c r="U343" s="989"/>
      <c r="V343" s="985"/>
      <c r="W343" s="985"/>
    </row>
    <row r="344" spans="1:23" ht="12.75" customHeight="1">
      <c r="A344" s="993"/>
      <c r="B344" s="996"/>
      <c r="C344" s="993"/>
      <c r="D344" s="999"/>
      <c r="E344" s="993"/>
      <c r="F344" s="975"/>
      <c r="G344" s="975"/>
      <c r="H344" s="403">
        <v>0</v>
      </c>
      <c r="I344" s="403">
        <v>0</v>
      </c>
      <c r="J344" s="990"/>
      <c r="K344" s="990"/>
      <c r="L344" s="986"/>
      <c r="M344" s="986"/>
      <c r="N344" s="990"/>
      <c r="O344" s="990"/>
      <c r="P344" s="986"/>
      <c r="Q344" s="986"/>
      <c r="R344" s="990"/>
      <c r="S344" s="986"/>
      <c r="T344" s="986"/>
      <c r="U344" s="990"/>
      <c r="V344" s="986"/>
      <c r="W344" s="986"/>
    </row>
    <row r="345" spans="1:23" ht="14.25" customHeight="1">
      <c r="A345" s="987" t="s">
        <v>642</v>
      </c>
      <c r="B345" s="987"/>
      <c r="C345" s="987"/>
      <c r="D345" s="987"/>
      <c r="E345" s="987"/>
      <c r="F345" s="987"/>
      <c r="G345" s="987"/>
      <c r="H345" s="409">
        <f>H325+H330+H335+H340</f>
        <v>114100000</v>
      </c>
      <c r="I345" s="409">
        <f aca="true" t="shared" si="2" ref="H345:I349">I325+I330+I335+I340</f>
        <v>35230824</v>
      </c>
      <c r="J345" s="982">
        <f aca="true" t="shared" si="3" ref="J345:W345">SUM(J325:J344)</f>
        <v>38916470</v>
      </c>
      <c r="K345" s="982">
        <f t="shared" si="3"/>
        <v>33079000</v>
      </c>
      <c r="L345" s="982">
        <f t="shared" si="3"/>
        <v>33069650</v>
      </c>
      <c r="M345" s="982">
        <f t="shared" si="3"/>
        <v>9350</v>
      </c>
      <c r="N345" s="982">
        <f t="shared" si="3"/>
        <v>5837470</v>
      </c>
      <c r="O345" s="982">
        <f t="shared" si="3"/>
        <v>0</v>
      </c>
      <c r="P345" s="982">
        <f t="shared" si="3"/>
        <v>0</v>
      </c>
      <c r="Q345" s="982">
        <f t="shared" si="3"/>
        <v>0</v>
      </c>
      <c r="R345" s="982">
        <f t="shared" si="3"/>
        <v>5837470</v>
      </c>
      <c r="S345" s="982">
        <f t="shared" si="3"/>
        <v>5835820</v>
      </c>
      <c r="T345" s="982">
        <f t="shared" si="3"/>
        <v>1650</v>
      </c>
      <c r="U345" s="982">
        <f t="shared" si="3"/>
        <v>0</v>
      </c>
      <c r="V345" s="982">
        <f t="shared" si="3"/>
        <v>0</v>
      </c>
      <c r="W345" s="982">
        <f t="shared" si="3"/>
        <v>0</v>
      </c>
    </row>
    <row r="346" spans="1:23" ht="14.25" customHeight="1">
      <c r="A346" s="987"/>
      <c r="B346" s="987"/>
      <c r="C346" s="987"/>
      <c r="D346" s="987"/>
      <c r="E346" s="987"/>
      <c r="F346" s="987"/>
      <c r="G346" s="987"/>
      <c r="H346" s="409">
        <f t="shared" si="2"/>
        <v>96985000</v>
      </c>
      <c r="I346" s="409">
        <f t="shared" si="2"/>
        <v>29946200</v>
      </c>
      <c r="J346" s="983"/>
      <c r="K346" s="983"/>
      <c r="L346" s="983"/>
      <c r="M346" s="983"/>
      <c r="N346" s="983"/>
      <c r="O346" s="983"/>
      <c r="P346" s="983"/>
      <c r="Q346" s="983"/>
      <c r="R346" s="983"/>
      <c r="S346" s="983"/>
      <c r="T346" s="983"/>
      <c r="U346" s="983"/>
      <c r="V346" s="983"/>
      <c r="W346" s="983"/>
    </row>
    <row r="347" spans="1:23" ht="14.25" customHeight="1">
      <c r="A347" s="987"/>
      <c r="B347" s="987"/>
      <c r="C347" s="987"/>
      <c r="D347" s="987"/>
      <c r="E347" s="987"/>
      <c r="F347" s="987"/>
      <c r="G347" s="987"/>
      <c r="H347" s="409">
        <f t="shared" si="2"/>
        <v>0</v>
      </c>
      <c r="I347" s="409">
        <f t="shared" si="2"/>
        <v>0</v>
      </c>
      <c r="J347" s="983"/>
      <c r="K347" s="983"/>
      <c r="L347" s="983"/>
      <c r="M347" s="983"/>
      <c r="N347" s="983"/>
      <c r="O347" s="983"/>
      <c r="P347" s="983"/>
      <c r="Q347" s="983"/>
      <c r="R347" s="983"/>
      <c r="S347" s="983"/>
      <c r="T347" s="983"/>
      <c r="U347" s="983"/>
      <c r="V347" s="983"/>
      <c r="W347" s="983"/>
    </row>
    <row r="348" spans="1:23" ht="14.25" customHeight="1">
      <c r="A348" s="987"/>
      <c r="B348" s="987"/>
      <c r="C348" s="987"/>
      <c r="D348" s="987"/>
      <c r="E348" s="987"/>
      <c r="F348" s="987"/>
      <c r="G348" s="987"/>
      <c r="H348" s="409">
        <f t="shared" si="2"/>
        <v>17115000</v>
      </c>
      <c r="I348" s="409">
        <f t="shared" si="2"/>
        <v>5284624</v>
      </c>
      <c r="J348" s="983"/>
      <c r="K348" s="983"/>
      <c r="L348" s="983"/>
      <c r="M348" s="983"/>
      <c r="N348" s="983"/>
      <c r="O348" s="983"/>
      <c r="P348" s="983"/>
      <c r="Q348" s="983"/>
      <c r="R348" s="983"/>
      <c r="S348" s="983"/>
      <c r="T348" s="983"/>
      <c r="U348" s="983"/>
      <c r="V348" s="983"/>
      <c r="W348" s="983"/>
    </row>
    <row r="349" spans="1:23" ht="14.25" customHeight="1">
      <c r="A349" s="987"/>
      <c r="B349" s="987"/>
      <c r="C349" s="987"/>
      <c r="D349" s="987"/>
      <c r="E349" s="987"/>
      <c r="F349" s="987"/>
      <c r="G349" s="987"/>
      <c r="H349" s="409">
        <f t="shared" si="2"/>
        <v>0</v>
      </c>
      <c r="I349" s="409">
        <f t="shared" si="2"/>
        <v>0</v>
      </c>
      <c r="J349" s="983"/>
      <c r="K349" s="983"/>
      <c r="L349" s="983"/>
      <c r="M349" s="983"/>
      <c r="N349" s="983"/>
      <c r="O349" s="983"/>
      <c r="P349" s="983"/>
      <c r="Q349" s="983"/>
      <c r="R349" s="983"/>
      <c r="S349" s="983"/>
      <c r="T349" s="983"/>
      <c r="U349" s="983"/>
      <c r="V349" s="983"/>
      <c r="W349" s="983"/>
    </row>
    <row r="350" spans="1:24" s="411" customFormat="1" ht="6.75" customHeight="1">
      <c r="A350" s="968"/>
      <c r="B350" s="968"/>
      <c r="C350" s="968"/>
      <c r="D350" s="968"/>
      <c r="E350" s="968"/>
      <c r="F350" s="968"/>
      <c r="G350" s="968"/>
      <c r="H350" s="968"/>
      <c r="I350" s="968"/>
      <c r="J350" s="968"/>
      <c r="K350" s="968"/>
      <c r="L350" s="968"/>
      <c r="M350" s="968"/>
      <c r="N350" s="968"/>
      <c r="O350" s="968"/>
      <c r="P350" s="968"/>
      <c r="Q350" s="968"/>
      <c r="R350" s="968"/>
      <c r="S350" s="968"/>
      <c r="T350" s="968"/>
      <c r="U350" s="968"/>
      <c r="V350" s="968"/>
      <c r="W350" s="968"/>
      <c r="X350" s="410"/>
    </row>
    <row r="351" spans="1:24" s="400" customFormat="1" ht="22.5" customHeight="1">
      <c r="A351" s="979" t="s">
        <v>643</v>
      </c>
      <c r="B351" s="980"/>
      <c r="C351" s="980"/>
      <c r="D351" s="980"/>
      <c r="E351" s="980"/>
      <c r="F351" s="980"/>
      <c r="G351" s="980"/>
      <c r="H351" s="980"/>
      <c r="I351" s="980"/>
      <c r="J351" s="980"/>
      <c r="K351" s="980"/>
      <c r="L351" s="980"/>
      <c r="M351" s="980"/>
      <c r="N351" s="980"/>
      <c r="O351" s="980"/>
      <c r="P351" s="980"/>
      <c r="Q351" s="980"/>
      <c r="R351" s="980"/>
      <c r="S351" s="980"/>
      <c r="T351" s="980"/>
      <c r="U351" s="980"/>
      <c r="V351" s="980"/>
      <c r="W351" s="981"/>
      <c r="X351" s="401"/>
    </row>
    <row r="352" spans="1:24" s="411" customFormat="1" ht="6.75" customHeight="1">
      <c r="A352" s="968"/>
      <c r="B352" s="968"/>
      <c r="C352" s="968"/>
      <c r="D352" s="968"/>
      <c r="E352" s="968"/>
      <c r="F352" s="968"/>
      <c r="G352" s="968"/>
      <c r="H352" s="968"/>
      <c r="I352" s="968"/>
      <c r="J352" s="968"/>
      <c r="K352" s="968"/>
      <c r="L352" s="968"/>
      <c r="M352" s="968"/>
      <c r="N352" s="968"/>
      <c r="O352" s="968"/>
      <c r="P352" s="968"/>
      <c r="Q352" s="968"/>
      <c r="R352" s="968"/>
      <c r="S352" s="968"/>
      <c r="T352" s="968"/>
      <c r="U352" s="968"/>
      <c r="V352" s="968"/>
      <c r="W352" s="968"/>
      <c r="X352" s="410"/>
    </row>
    <row r="353" spans="1:23" ht="12.75" customHeight="1">
      <c r="A353" s="968">
        <v>1</v>
      </c>
      <c r="B353" s="969" t="s">
        <v>644</v>
      </c>
      <c r="C353" s="976" t="s">
        <v>645</v>
      </c>
      <c r="D353" s="971" t="s">
        <v>646</v>
      </c>
      <c r="E353" s="968" t="s">
        <v>502</v>
      </c>
      <c r="F353" s="972" t="s">
        <v>647</v>
      </c>
      <c r="G353" s="972" t="s">
        <v>648</v>
      </c>
      <c r="H353" s="403" t="s">
        <v>649</v>
      </c>
      <c r="I353" s="403" t="s">
        <v>649</v>
      </c>
      <c r="J353" s="967">
        <f>K353+N353</f>
        <v>4312500</v>
      </c>
      <c r="K353" s="967">
        <f>L353+M353</f>
        <v>0</v>
      </c>
      <c r="L353" s="965">
        <v>0</v>
      </c>
      <c r="M353" s="965">
        <v>0</v>
      </c>
      <c r="N353" s="967">
        <f>O353+R353+U353</f>
        <v>4312500</v>
      </c>
      <c r="O353" s="967">
        <f>P353+Q353</f>
        <v>4312500</v>
      </c>
      <c r="P353" s="965">
        <v>0</v>
      </c>
      <c r="Q353" s="965">
        <v>4312500</v>
      </c>
      <c r="R353" s="967">
        <f>S353+T353</f>
        <v>0</v>
      </c>
      <c r="S353" s="965">
        <v>0</v>
      </c>
      <c r="T353" s="965">
        <v>0</v>
      </c>
      <c r="U353" s="967">
        <f>V353+W353</f>
        <v>0</v>
      </c>
      <c r="V353" s="965">
        <v>0</v>
      </c>
      <c r="W353" s="965">
        <v>0</v>
      </c>
    </row>
    <row r="354" spans="1:23" ht="12.75" customHeight="1">
      <c r="A354" s="968"/>
      <c r="B354" s="969"/>
      <c r="C354" s="977"/>
      <c r="D354" s="971"/>
      <c r="E354" s="968"/>
      <c r="F354" s="972"/>
      <c r="G354" s="972"/>
      <c r="H354" s="403" t="s">
        <v>649</v>
      </c>
      <c r="I354" s="403" t="s">
        <v>649</v>
      </c>
      <c r="J354" s="967"/>
      <c r="K354" s="967"/>
      <c r="L354" s="965"/>
      <c r="M354" s="965"/>
      <c r="N354" s="967"/>
      <c r="O354" s="967"/>
      <c r="P354" s="965"/>
      <c r="Q354" s="965"/>
      <c r="R354" s="967"/>
      <c r="S354" s="965"/>
      <c r="T354" s="965"/>
      <c r="U354" s="967"/>
      <c r="V354" s="965"/>
      <c r="W354" s="965"/>
    </row>
    <row r="355" spans="1:23" ht="12.75" customHeight="1">
      <c r="A355" s="968"/>
      <c r="B355" s="969"/>
      <c r="C355" s="977"/>
      <c r="D355" s="971"/>
      <c r="E355" s="968"/>
      <c r="F355" s="972"/>
      <c r="G355" s="972"/>
      <c r="H355" s="403" t="s">
        <v>649</v>
      </c>
      <c r="I355" s="403" t="s">
        <v>649</v>
      </c>
      <c r="J355" s="967"/>
      <c r="K355" s="967"/>
      <c r="L355" s="965"/>
      <c r="M355" s="965"/>
      <c r="N355" s="967"/>
      <c r="O355" s="967"/>
      <c r="P355" s="965"/>
      <c r="Q355" s="965"/>
      <c r="R355" s="967"/>
      <c r="S355" s="965"/>
      <c r="T355" s="965"/>
      <c r="U355" s="967"/>
      <c r="V355" s="965"/>
      <c r="W355" s="965"/>
    </row>
    <row r="356" spans="1:23" ht="12.75" customHeight="1">
      <c r="A356" s="968"/>
      <c r="B356" s="969"/>
      <c r="C356" s="977"/>
      <c r="D356" s="971"/>
      <c r="E356" s="968"/>
      <c r="F356" s="972"/>
      <c r="G356" s="972"/>
      <c r="H356" s="403" t="s">
        <v>649</v>
      </c>
      <c r="I356" s="403" t="s">
        <v>649</v>
      </c>
      <c r="J356" s="967"/>
      <c r="K356" s="967"/>
      <c r="L356" s="965"/>
      <c r="M356" s="965"/>
      <c r="N356" s="967"/>
      <c r="O356" s="967"/>
      <c r="P356" s="965"/>
      <c r="Q356" s="965"/>
      <c r="R356" s="967"/>
      <c r="S356" s="965"/>
      <c r="T356" s="965"/>
      <c r="U356" s="967"/>
      <c r="V356" s="965"/>
      <c r="W356" s="965"/>
    </row>
    <row r="357" spans="1:23" ht="12.75" customHeight="1">
      <c r="A357" s="968"/>
      <c r="B357" s="969"/>
      <c r="C357" s="978"/>
      <c r="D357" s="971"/>
      <c r="E357" s="968"/>
      <c r="F357" s="972"/>
      <c r="G357" s="972"/>
      <c r="H357" s="403" t="s">
        <v>649</v>
      </c>
      <c r="I357" s="403" t="s">
        <v>649</v>
      </c>
      <c r="J357" s="967"/>
      <c r="K357" s="967"/>
      <c r="L357" s="965"/>
      <c r="M357" s="965"/>
      <c r="N357" s="967"/>
      <c r="O357" s="967"/>
      <c r="P357" s="965"/>
      <c r="Q357" s="965"/>
      <c r="R357" s="967"/>
      <c r="S357" s="965"/>
      <c r="T357" s="965"/>
      <c r="U357" s="967"/>
      <c r="V357" s="965"/>
      <c r="W357" s="965"/>
    </row>
    <row r="358" spans="1:23" ht="14.25" customHeight="1">
      <c r="A358" s="968">
        <v>2</v>
      </c>
      <c r="B358" s="969" t="s">
        <v>650</v>
      </c>
      <c r="C358" s="976" t="s">
        <v>645</v>
      </c>
      <c r="D358" s="971" t="s">
        <v>651</v>
      </c>
      <c r="E358" s="968" t="s">
        <v>502</v>
      </c>
      <c r="F358" s="972" t="s">
        <v>647</v>
      </c>
      <c r="G358" s="972" t="s">
        <v>648</v>
      </c>
      <c r="H358" s="403" t="s">
        <v>649</v>
      </c>
      <c r="I358" s="403" t="s">
        <v>649</v>
      </c>
      <c r="J358" s="967">
        <f>K358+N358</f>
        <v>4312500</v>
      </c>
      <c r="K358" s="967">
        <f>L358+M358</f>
        <v>0</v>
      </c>
      <c r="L358" s="965">
        <v>0</v>
      </c>
      <c r="M358" s="965">
        <v>0</v>
      </c>
      <c r="N358" s="967">
        <f>O358+R358+U358</f>
        <v>4312500</v>
      </c>
      <c r="O358" s="967">
        <f>P358+Q358</f>
        <v>4312500</v>
      </c>
      <c r="P358" s="965">
        <v>0</v>
      </c>
      <c r="Q358" s="965">
        <v>4312500</v>
      </c>
      <c r="R358" s="967">
        <f>S358+T358</f>
        <v>0</v>
      </c>
      <c r="S358" s="965">
        <v>0</v>
      </c>
      <c r="T358" s="965">
        <v>0</v>
      </c>
      <c r="U358" s="967">
        <f>V358+W358</f>
        <v>0</v>
      </c>
      <c r="V358" s="965">
        <v>0</v>
      </c>
      <c r="W358" s="965">
        <v>0</v>
      </c>
    </row>
    <row r="359" spans="1:23" ht="14.25" customHeight="1">
      <c r="A359" s="968"/>
      <c r="B359" s="969"/>
      <c r="C359" s="977"/>
      <c r="D359" s="971"/>
      <c r="E359" s="968"/>
      <c r="F359" s="972"/>
      <c r="G359" s="972"/>
      <c r="H359" s="403" t="s">
        <v>649</v>
      </c>
      <c r="I359" s="403" t="s">
        <v>649</v>
      </c>
      <c r="J359" s="967"/>
      <c r="K359" s="967"/>
      <c r="L359" s="965"/>
      <c r="M359" s="965"/>
      <c r="N359" s="967"/>
      <c r="O359" s="967"/>
      <c r="P359" s="965"/>
      <c r="Q359" s="965"/>
      <c r="R359" s="967"/>
      <c r="S359" s="965"/>
      <c r="T359" s="965"/>
      <c r="U359" s="967"/>
      <c r="V359" s="965"/>
      <c r="W359" s="965"/>
    </row>
    <row r="360" spans="1:23" ht="14.25" customHeight="1">
      <c r="A360" s="968"/>
      <c r="B360" s="969"/>
      <c r="C360" s="977"/>
      <c r="D360" s="971"/>
      <c r="E360" s="968"/>
      <c r="F360" s="972"/>
      <c r="G360" s="972"/>
      <c r="H360" s="403" t="s">
        <v>649</v>
      </c>
      <c r="I360" s="403" t="s">
        <v>649</v>
      </c>
      <c r="J360" s="967"/>
      <c r="K360" s="967"/>
      <c r="L360" s="965"/>
      <c r="M360" s="965"/>
      <c r="N360" s="967"/>
      <c r="O360" s="967"/>
      <c r="P360" s="965"/>
      <c r="Q360" s="965"/>
      <c r="R360" s="967"/>
      <c r="S360" s="965"/>
      <c r="T360" s="965"/>
      <c r="U360" s="967"/>
      <c r="V360" s="965"/>
      <c r="W360" s="965"/>
    </row>
    <row r="361" spans="1:23" ht="14.25" customHeight="1">
      <c r="A361" s="968"/>
      <c r="B361" s="969"/>
      <c r="C361" s="977"/>
      <c r="D361" s="971"/>
      <c r="E361" s="968"/>
      <c r="F361" s="972"/>
      <c r="G361" s="972"/>
      <c r="H361" s="403" t="s">
        <v>649</v>
      </c>
      <c r="I361" s="403" t="s">
        <v>649</v>
      </c>
      <c r="J361" s="967"/>
      <c r="K361" s="967"/>
      <c r="L361" s="965"/>
      <c r="M361" s="965"/>
      <c r="N361" s="967"/>
      <c r="O361" s="967"/>
      <c r="P361" s="965"/>
      <c r="Q361" s="965"/>
      <c r="R361" s="967"/>
      <c r="S361" s="965"/>
      <c r="T361" s="965"/>
      <c r="U361" s="967"/>
      <c r="V361" s="965"/>
      <c r="W361" s="965"/>
    </row>
    <row r="362" spans="1:23" ht="14.25" customHeight="1">
      <c r="A362" s="968"/>
      <c r="B362" s="969"/>
      <c r="C362" s="978"/>
      <c r="D362" s="971"/>
      <c r="E362" s="968"/>
      <c r="F362" s="972"/>
      <c r="G362" s="972"/>
      <c r="H362" s="403" t="s">
        <v>649</v>
      </c>
      <c r="I362" s="403" t="s">
        <v>649</v>
      </c>
      <c r="J362" s="967"/>
      <c r="K362" s="967"/>
      <c r="L362" s="965"/>
      <c r="M362" s="965"/>
      <c r="N362" s="967"/>
      <c r="O362" s="967"/>
      <c r="P362" s="965"/>
      <c r="Q362" s="965"/>
      <c r="R362" s="967"/>
      <c r="S362" s="965"/>
      <c r="T362" s="965"/>
      <c r="U362" s="967"/>
      <c r="V362" s="965"/>
      <c r="W362" s="965"/>
    </row>
    <row r="363" spans="1:23" ht="15" customHeight="1">
      <c r="A363" s="968">
        <v>3</v>
      </c>
      <c r="B363" s="969" t="s">
        <v>652</v>
      </c>
      <c r="C363" s="968">
        <v>102</v>
      </c>
      <c r="D363" s="971" t="s">
        <v>653</v>
      </c>
      <c r="E363" s="968" t="s">
        <v>638</v>
      </c>
      <c r="F363" s="973" t="s">
        <v>654</v>
      </c>
      <c r="G363" s="972" t="s">
        <v>648</v>
      </c>
      <c r="H363" s="403" t="s">
        <v>649</v>
      </c>
      <c r="I363" s="403" t="s">
        <v>649</v>
      </c>
      <c r="J363" s="967">
        <f>K363+N363</f>
        <v>1800000</v>
      </c>
      <c r="K363" s="967">
        <f>L363+M363</f>
        <v>0</v>
      </c>
      <c r="L363" s="965">
        <v>0</v>
      </c>
      <c r="M363" s="965">
        <v>0</v>
      </c>
      <c r="N363" s="967">
        <f>O363+R363+U363</f>
        <v>1800000</v>
      </c>
      <c r="O363" s="967">
        <f>P363+Q363</f>
        <v>1800000</v>
      </c>
      <c r="P363" s="965">
        <v>1800000</v>
      </c>
      <c r="Q363" s="965">
        <v>0</v>
      </c>
      <c r="R363" s="967">
        <f>S363+T363</f>
        <v>0</v>
      </c>
      <c r="S363" s="965">
        <v>0</v>
      </c>
      <c r="T363" s="965">
        <v>0</v>
      </c>
      <c r="U363" s="967">
        <f>V363+W363</f>
        <v>0</v>
      </c>
      <c r="V363" s="965">
        <v>0</v>
      </c>
      <c r="W363" s="965">
        <v>0</v>
      </c>
    </row>
    <row r="364" spans="1:23" ht="15" customHeight="1">
      <c r="A364" s="968"/>
      <c r="B364" s="969"/>
      <c r="C364" s="968"/>
      <c r="D364" s="971"/>
      <c r="E364" s="968"/>
      <c r="F364" s="974"/>
      <c r="G364" s="972"/>
      <c r="H364" s="403" t="s">
        <v>649</v>
      </c>
      <c r="I364" s="403" t="s">
        <v>649</v>
      </c>
      <c r="J364" s="967"/>
      <c r="K364" s="967"/>
      <c r="L364" s="965"/>
      <c r="M364" s="965"/>
      <c r="N364" s="967"/>
      <c r="O364" s="967"/>
      <c r="P364" s="965"/>
      <c r="Q364" s="965"/>
      <c r="R364" s="967"/>
      <c r="S364" s="965"/>
      <c r="T364" s="965"/>
      <c r="U364" s="967"/>
      <c r="V364" s="965"/>
      <c r="W364" s="965"/>
    </row>
    <row r="365" spans="1:23" ht="15" customHeight="1">
      <c r="A365" s="968"/>
      <c r="B365" s="969"/>
      <c r="C365" s="968"/>
      <c r="D365" s="971"/>
      <c r="E365" s="968"/>
      <c r="F365" s="974"/>
      <c r="G365" s="972"/>
      <c r="H365" s="403" t="s">
        <v>649</v>
      </c>
      <c r="I365" s="403" t="s">
        <v>649</v>
      </c>
      <c r="J365" s="967"/>
      <c r="K365" s="967"/>
      <c r="L365" s="965"/>
      <c r="M365" s="965"/>
      <c r="N365" s="967"/>
      <c r="O365" s="967"/>
      <c r="P365" s="965"/>
      <c r="Q365" s="965"/>
      <c r="R365" s="967"/>
      <c r="S365" s="965"/>
      <c r="T365" s="965"/>
      <c r="U365" s="967"/>
      <c r="V365" s="965"/>
      <c r="W365" s="965"/>
    </row>
    <row r="366" spans="1:23" ht="15" customHeight="1">
      <c r="A366" s="968"/>
      <c r="B366" s="969"/>
      <c r="C366" s="968"/>
      <c r="D366" s="971"/>
      <c r="E366" s="968"/>
      <c r="F366" s="974"/>
      <c r="G366" s="972"/>
      <c r="H366" s="403" t="s">
        <v>649</v>
      </c>
      <c r="I366" s="403" t="s">
        <v>649</v>
      </c>
      <c r="J366" s="967"/>
      <c r="K366" s="967"/>
      <c r="L366" s="965"/>
      <c r="M366" s="965"/>
      <c r="N366" s="967"/>
      <c r="O366" s="967"/>
      <c r="P366" s="965"/>
      <c r="Q366" s="965"/>
      <c r="R366" s="967"/>
      <c r="S366" s="965"/>
      <c r="T366" s="965"/>
      <c r="U366" s="967"/>
      <c r="V366" s="965"/>
      <c r="W366" s="965"/>
    </row>
    <row r="367" spans="1:23" ht="15" customHeight="1">
      <c r="A367" s="968"/>
      <c r="B367" s="969"/>
      <c r="C367" s="968"/>
      <c r="D367" s="971"/>
      <c r="E367" s="968"/>
      <c r="F367" s="975"/>
      <c r="G367" s="972"/>
      <c r="H367" s="403" t="s">
        <v>649</v>
      </c>
      <c r="I367" s="403" t="s">
        <v>649</v>
      </c>
      <c r="J367" s="967"/>
      <c r="K367" s="967"/>
      <c r="L367" s="965"/>
      <c r="M367" s="965"/>
      <c r="N367" s="967"/>
      <c r="O367" s="967"/>
      <c r="P367" s="965"/>
      <c r="Q367" s="965"/>
      <c r="R367" s="967"/>
      <c r="S367" s="965"/>
      <c r="T367" s="965"/>
      <c r="U367" s="967"/>
      <c r="V367" s="965"/>
      <c r="W367" s="965"/>
    </row>
    <row r="368" spans="1:23" ht="14.25" customHeight="1">
      <c r="A368" s="968">
        <v>4</v>
      </c>
      <c r="B368" s="969" t="s">
        <v>655</v>
      </c>
      <c r="C368" s="970" t="s">
        <v>656</v>
      </c>
      <c r="D368" s="971" t="s">
        <v>657</v>
      </c>
      <c r="E368" s="968" t="s">
        <v>638</v>
      </c>
      <c r="F368" s="973" t="s">
        <v>654</v>
      </c>
      <c r="G368" s="972" t="s">
        <v>648</v>
      </c>
      <c r="H368" s="403" t="s">
        <v>649</v>
      </c>
      <c r="I368" s="403" t="s">
        <v>649</v>
      </c>
      <c r="J368" s="967">
        <f>K368+N368</f>
        <v>81728</v>
      </c>
      <c r="K368" s="967">
        <f>L368+M368</f>
        <v>0</v>
      </c>
      <c r="L368" s="965">
        <v>0</v>
      </c>
      <c r="M368" s="965">
        <v>0</v>
      </c>
      <c r="N368" s="967">
        <f>O368+R368+U368</f>
        <v>81728</v>
      </c>
      <c r="O368" s="967">
        <f>P368+Q368</f>
        <v>81728</v>
      </c>
      <c r="P368" s="965">
        <v>81728</v>
      </c>
      <c r="Q368" s="965"/>
      <c r="R368" s="967">
        <f>S368+T368</f>
        <v>0</v>
      </c>
      <c r="S368" s="965">
        <v>0</v>
      </c>
      <c r="T368" s="965">
        <v>0</v>
      </c>
      <c r="U368" s="967">
        <f>V368+W368</f>
        <v>0</v>
      </c>
      <c r="V368" s="965">
        <v>0</v>
      </c>
      <c r="W368" s="965">
        <v>0</v>
      </c>
    </row>
    <row r="369" spans="1:23" ht="14.25" customHeight="1">
      <c r="A369" s="968"/>
      <c r="B369" s="969"/>
      <c r="C369" s="970"/>
      <c r="D369" s="971"/>
      <c r="E369" s="968"/>
      <c r="F369" s="974"/>
      <c r="G369" s="972"/>
      <c r="H369" s="403" t="s">
        <v>649</v>
      </c>
      <c r="I369" s="403" t="s">
        <v>649</v>
      </c>
      <c r="J369" s="967"/>
      <c r="K369" s="967"/>
      <c r="L369" s="965"/>
      <c r="M369" s="965"/>
      <c r="N369" s="967"/>
      <c r="O369" s="967"/>
      <c r="P369" s="965"/>
      <c r="Q369" s="965"/>
      <c r="R369" s="967"/>
      <c r="S369" s="965"/>
      <c r="T369" s="965"/>
      <c r="U369" s="967"/>
      <c r="V369" s="965"/>
      <c r="W369" s="965"/>
    </row>
    <row r="370" spans="1:23" ht="14.25" customHeight="1">
      <c r="A370" s="968"/>
      <c r="B370" s="969"/>
      <c r="C370" s="970"/>
      <c r="D370" s="971"/>
      <c r="E370" s="968"/>
      <c r="F370" s="974"/>
      <c r="G370" s="972"/>
      <c r="H370" s="403" t="s">
        <v>649</v>
      </c>
      <c r="I370" s="403" t="s">
        <v>649</v>
      </c>
      <c r="J370" s="967"/>
      <c r="K370" s="967"/>
      <c r="L370" s="965"/>
      <c r="M370" s="965"/>
      <c r="N370" s="967"/>
      <c r="O370" s="967"/>
      <c r="P370" s="965"/>
      <c r="Q370" s="965"/>
      <c r="R370" s="967"/>
      <c r="S370" s="965"/>
      <c r="T370" s="965"/>
      <c r="U370" s="967"/>
      <c r="V370" s="965"/>
      <c r="W370" s="965"/>
    </row>
    <row r="371" spans="1:23" ht="14.25" customHeight="1">
      <c r="A371" s="968"/>
      <c r="B371" s="969"/>
      <c r="C371" s="970"/>
      <c r="D371" s="971"/>
      <c r="E371" s="968"/>
      <c r="F371" s="974"/>
      <c r="G371" s="972"/>
      <c r="H371" s="403" t="s">
        <v>649</v>
      </c>
      <c r="I371" s="403" t="s">
        <v>649</v>
      </c>
      <c r="J371" s="967"/>
      <c r="K371" s="967"/>
      <c r="L371" s="965"/>
      <c r="M371" s="965"/>
      <c r="N371" s="967"/>
      <c r="O371" s="967"/>
      <c r="P371" s="965"/>
      <c r="Q371" s="965"/>
      <c r="R371" s="967"/>
      <c r="S371" s="965"/>
      <c r="T371" s="965"/>
      <c r="U371" s="967"/>
      <c r="V371" s="965"/>
      <c r="W371" s="965"/>
    </row>
    <row r="372" spans="1:23" ht="14.25" customHeight="1">
      <c r="A372" s="968"/>
      <c r="B372" s="969"/>
      <c r="C372" s="970"/>
      <c r="D372" s="971"/>
      <c r="E372" s="968"/>
      <c r="F372" s="975"/>
      <c r="G372" s="972"/>
      <c r="H372" s="403" t="s">
        <v>649</v>
      </c>
      <c r="I372" s="403" t="s">
        <v>649</v>
      </c>
      <c r="J372" s="967"/>
      <c r="K372" s="967"/>
      <c r="L372" s="965"/>
      <c r="M372" s="965"/>
      <c r="N372" s="967"/>
      <c r="O372" s="967"/>
      <c r="P372" s="965"/>
      <c r="Q372" s="965"/>
      <c r="R372" s="967"/>
      <c r="S372" s="965"/>
      <c r="T372" s="965"/>
      <c r="U372" s="967"/>
      <c r="V372" s="965"/>
      <c r="W372" s="965"/>
    </row>
    <row r="373" spans="1:23" ht="15" customHeight="1">
      <c r="A373" s="968">
        <v>5</v>
      </c>
      <c r="B373" s="969" t="s">
        <v>658</v>
      </c>
      <c r="C373" s="970" t="s">
        <v>659</v>
      </c>
      <c r="D373" s="971" t="s">
        <v>660</v>
      </c>
      <c r="E373" s="968" t="s">
        <v>502</v>
      </c>
      <c r="F373" s="973" t="s">
        <v>599</v>
      </c>
      <c r="G373" s="972" t="s">
        <v>648</v>
      </c>
      <c r="H373" s="403" t="s">
        <v>649</v>
      </c>
      <c r="I373" s="403" t="s">
        <v>649</v>
      </c>
      <c r="J373" s="967">
        <f>K373+N373</f>
        <v>655000</v>
      </c>
      <c r="K373" s="967">
        <f>L373+M373</f>
        <v>0</v>
      </c>
      <c r="L373" s="965">
        <v>0</v>
      </c>
      <c r="M373" s="965">
        <v>0</v>
      </c>
      <c r="N373" s="967">
        <f>O373+R373+U373</f>
        <v>655000</v>
      </c>
      <c r="O373" s="967">
        <f>P373+Q373</f>
        <v>655000</v>
      </c>
      <c r="P373" s="965">
        <v>655000</v>
      </c>
      <c r="Q373" s="965"/>
      <c r="R373" s="967">
        <f>S373+T373</f>
        <v>0</v>
      </c>
      <c r="S373" s="965">
        <v>0</v>
      </c>
      <c r="T373" s="965">
        <v>0</v>
      </c>
      <c r="U373" s="967">
        <f>V373+W373</f>
        <v>0</v>
      </c>
      <c r="V373" s="965">
        <v>0</v>
      </c>
      <c r="W373" s="965">
        <v>0</v>
      </c>
    </row>
    <row r="374" spans="1:23" ht="15" customHeight="1">
      <c r="A374" s="968"/>
      <c r="B374" s="969"/>
      <c r="C374" s="970"/>
      <c r="D374" s="971"/>
      <c r="E374" s="968"/>
      <c r="F374" s="974"/>
      <c r="G374" s="972"/>
      <c r="H374" s="403" t="s">
        <v>649</v>
      </c>
      <c r="I374" s="403" t="s">
        <v>649</v>
      </c>
      <c r="J374" s="967"/>
      <c r="K374" s="967"/>
      <c r="L374" s="965"/>
      <c r="M374" s="965"/>
      <c r="N374" s="967"/>
      <c r="O374" s="967"/>
      <c r="P374" s="965"/>
      <c r="Q374" s="965"/>
      <c r="R374" s="967"/>
      <c r="S374" s="965"/>
      <c r="T374" s="965"/>
      <c r="U374" s="967"/>
      <c r="V374" s="965"/>
      <c r="W374" s="965"/>
    </row>
    <row r="375" spans="1:23" ht="15" customHeight="1">
      <c r="A375" s="968"/>
      <c r="B375" s="969"/>
      <c r="C375" s="970"/>
      <c r="D375" s="971"/>
      <c r="E375" s="968"/>
      <c r="F375" s="974"/>
      <c r="G375" s="972"/>
      <c r="H375" s="403" t="s">
        <v>649</v>
      </c>
      <c r="I375" s="403" t="s">
        <v>649</v>
      </c>
      <c r="J375" s="967"/>
      <c r="K375" s="967"/>
      <c r="L375" s="965"/>
      <c r="M375" s="965"/>
      <c r="N375" s="967"/>
      <c r="O375" s="967"/>
      <c r="P375" s="965"/>
      <c r="Q375" s="965"/>
      <c r="R375" s="967"/>
      <c r="S375" s="965"/>
      <c r="T375" s="965"/>
      <c r="U375" s="967"/>
      <c r="V375" s="965"/>
      <c r="W375" s="965"/>
    </row>
    <row r="376" spans="1:23" ht="15" customHeight="1">
      <c r="A376" s="968"/>
      <c r="B376" s="969"/>
      <c r="C376" s="970"/>
      <c r="D376" s="971"/>
      <c r="E376" s="968"/>
      <c r="F376" s="974"/>
      <c r="G376" s="972"/>
      <c r="H376" s="403" t="s">
        <v>649</v>
      </c>
      <c r="I376" s="403" t="s">
        <v>649</v>
      </c>
      <c r="J376" s="967"/>
      <c r="K376" s="967"/>
      <c r="L376" s="965"/>
      <c r="M376" s="965"/>
      <c r="N376" s="967"/>
      <c r="O376" s="967"/>
      <c r="P376" s="965"/>
      <c r="Q376" s="965"/>
      <c r="R376" s="967"/>
      <c r="S376" s="965"/>
      <c r="T376" s="965"/>
      <c r="U376" s="967"/>
      <c r="V376" s="965"/>
      <c r="W376" s="965"/>
    </row>
    <row r="377" spans="1:23" ht="15" customHeight="1">
      <c r="A377" s="968"/>
      <c r="B377" s="969"/>
      <c r="C377" s="970"/>
      <c r="D377" s="971"/>
      <c r="E377" s="968"/>
      <c r="F377" s="975"/>
      <c r="G377" s="972"/>
      <c r="H377" s="403" t="s">
        <v>649</v>
      </c>
      <c r="I377" s="403" t="s">
        <v>649</v>
      </c>
      <c r="J377" s="967"/>
      <c r="K377" s="967"/>
      <c r="L377" s="965"/>
      <c r="M377" s="965"/>
      <c r="N377" s="967"/>
      <c r="O377" s="967"/>
      <c r="P377" s="965"/>
      <c r="Q377" s="965"/>
      <c r="R377" s="967"/>
      <c r="S377" s="965"/>
      <c r="T377" s="965"/>
      <c r="U377" s="967"/>
      <c r="V377" s="965"/>
      <c r="W377" s="965"/>
    </row>
    <row r="378" spans="1:23" ht="15" customHeight="1">
      <c r="A378" s="968">
        <v>6</v>
      </c>
      <c r="B378" s="969" t="s">
        <v>661</v>
      </c>
      <c r="C378" s="970" t="s">
        <v>662</v>
      </c>
      <c r="D378" s="971" t="s">
        <v>663</v>
      </c>
      <c r="E378" s="968" t="s">
        <v>638</v>
      </c>
      <c r="F378" s="973" t="s">
        <v>654</v>
      </c>
      <c r="G378" s="972" t="s">
        <v>648</v>
      </c>
      <c r="H378" s="403" t="s">
        <v>649</v>
      </c>
      <c r="I378" s="403" t="s">
        <v>649</v>
      </c>
      <c r="J378" s="967">
        <f>K378+N378</f>
        <v>450000</v>
      </c>
      <c r="K378" s="967">
        <f>L378+M378</f>
        <v>0</v>
      </c>
      <c r="L378" s="965">
        <v>0</v>
      </c>
      <c r="M378" s="965">
        <v>0</v>
      </c>
      <c r="N378" s="967">
        <f>O378+R378+U378</f>
        <v>450000</v>
      </c>
      <c r="O378" s="967">
        <f>P378+Q378</f>
        <v>450000</v>
      </c>
      <c r="P378" s="965">
        <v>450000</v>
      </c>
      <c r="Q378" s="965">
        <v>0</v>
      </c>
      <c r="R378" s="967">
        <f>S378+T378</f>
        <v>0</v>
      </c>
      <c r="S378" s="965">
        <v>0</v>
      </c>
      <c r="T378" s="965">
        <v>0</v>
      </c>
      <c r="U378" s="967">
        <f>V378+W378</f>
        <v>0</v>
      </c>
      <c r="V378" s="965">
        <v>0</v>
      </c>
      <c r="W378" s="965">
        <v>0</v>
      </c>
    </row>
    <row r="379" spans="1:23" ht="15" customHeight="1">
      <c r="A379" s="968"/>
      <c r="B379" s="969"/>
      <c r="C379" s="970"/>
      <c r="D379" s="971"/>
      <c r="E379" s="968"/>
      <c r="F379" s="974"/>
      <c r="G379" s="972"/>
      <c r="H379" s="403" t="s">
        <v>649</v>
      </c>
      <c r="I379" s="403" t="s">
        <v>649</v>
      </c>
      <c r="J379" s="967"/>
      <c r="K379" s="967"/>
      <c r="L379" s="965"/>
      <c r="M379" s="965"/>
      <c r="N379" s="967"/>
      <c r="O379" s="967"/>
      <c r="P379" s="965"/>
      <c r="Q379" s="965"/>
      <c r="R379" s="967"/>
      <c r="S379" s="965"/>
      <c r="T379" s="965"/>
      <c r="U379" s="967"/>
      <c r="V379" s="965"/>
      <c r="W379" s="965"/>
    </row>
    <row r="380" spans="1:23" ht="15" customHeight="1">
      <c r="A380" s="968"/>
      <c r="B380" s="969"/>
      <c r="C380" s="970"/>
      <c r="D380" s="971"/>
      <c r="E380" s="968"/>
      <c r="F380" s="974"/>
      <c r="G380" s="972"/>
      <c r="H380" s="403" t="s">
        <v>649</v>
      </c>
      <c r="I380" s="403" t="s">
        <v>649</v>
      </c>
      <c r="J380" s="967"/>
      <c r="K380" s="967"/>
      <c r="L380" s="965"/>
      <c r="M380" s="965"/>
      <c r="N380" s="967"/>
      <c r="O380" s="967"/>
      <c r="P380" s="965"/>
      <c r="Q380" s="965"/>
      <c r="R380" s="967"/>
      <c r="S380" s="965"/>
      <c r="T380" s="965"/>
      <c r="U380" s="967"/>
      <c r="V380" s="965"/>
      <c r="W380" s="965"/>
    </row>
    <row r="381" spans="1:23" ht="15" customHeight="1">
      <c r="A381" s="968"/>
      <c r="B381" s="969"/>
      <c r="C381" s="970"/>
      <c r="D381" s="971"/>
      <c r="E381" s="968"/>
      <c r="F381" s="974"/>
      <c r="G381" s="972"/>
      <c r="H381" s="403" t="s">
        <v>649</v>
      </c>
      <c r="I381" s="403" t="s">
        <v>649</v>
      </c>
      <c r="J381" s="967"/>
      <c r="K381" s="967"/>
      <c r="L381" s="965"/>
      <c r="M381" s="965"/>
      <c r="N381" s="967"/>
      <c r="O381" s="967"/>
      <c r="P381" s="965"/>
      <c r="Q381" s="965"/>
      <c r="R381" s="967"/>
      <c r="S381" s="965"/>
      <c r="T381" s="965"/>
      <c r="U381" s="967"/>
      <c r="V381" s="965"/>
      <c r="W381" s="965"/>
    </row>
    <row r="382" spans="1:23" ht="15" customHeight="1">
      <c r="A382" s="968"/>
      <c r="B382" s="969"/>
      <c r="C382" s="970"/>
      <c r="D382" s="971"/>
      <c r="E382" s="968"/>
      <c r="F382" s="975"/>
      <c r="G382" s="972"/>
      <c r="H382" s="403" t="s">
        <v>649</v>
      </c>
      <c r="I382" s="403" t="s">
        <v>649</v>
      </c>
      <c r="J382" s="967"/>
      <c r="K382" s="967"/>
      <c r="L382" s="965"/>
      <c r="M382" s="965"/>
      <c r="N382" s="967"/>
      <c r="O382" s="967"/>
      <c r="P382" s="965"/>
      <c r="Q382" s="965"/>
      <c r="R382" s="967"/>
      <c r="S382" s="965"/>
      <c r="T382" s="965"/>
      <c r="U382" s="967"/>
      <c r="V382" s="965"/>
      <c r="W382" s="965"/>
    </row>
    <row r="383" spans="1:23" ht="14.25" customHeight="1">
      <c r="A383" s="968">
        <v>7</v>
      </c>
      <c r="B383" s="969" t="s">
        <v>591</v>
      </c>
      <c r="C383" s="970" t="s">
        <v>592</v>
      </c>
      <c r="D383" s="971" t="s">
        <v>664</v>
      </c>
      <c r="E383" s="968" t="s">
        <v>502</v>
      </c>
      <c r="F383" s="972" t="s">
        <v>665</v>
      </c>
      <c r="G383" s="972" t="s">
        <v>648</v>
      </c>
      <c r="H383" s="403" t="s">
        <v>649</v>
      </c>
      <c r="I383" s="403" t="s">
        <v>649</v>
      </c>
      <c r="J383" s="967">
        <f>K383+N383</f>
        <v>64000</v>
      </c>
      <c r="K383" s="967">
        <f>L383+M383</f>
        <v>0</v>
      </c>
      <c r="L383" s="965">
        <v>0</v>
      </c>
      <c r="M383" s="965">
        <v>0</v>
      </c>
      <c r="N383" s="967">
        <f>O383+R383+U383</f>
        <v>64000</v>
      </c>
      <c r="O383" s="967">
        <f>P383+Q383</f>
        <v>64000</v>
      </c>
      <c r="P383" s="965">
        <v>64000</v>
      </c>
      <c r="Q383" s="965">
        <v>0</v>
      </c>
      <c r="R383" s="967">
        <f>S383+T383</f>
        <v>0</v>
      </c>
      <c r="S383" s="965">
        <v>0</v>
      </c>
      <c r="T383" s="965">
        <v>0</v>
      </c>
      <c r="U383" s="967">
        <f>V383+W383</f>
        <v>0</v>
      </c>
      <c r="V383" s="965">
        <v>0</v>
      </c>
      <c r="W383" s="965">
        <v>0</v>
      </c>
    </row>
    <row r="384" spans="1:23" ht="14.25" customHeight="1">
      <c r="A384" s="968"/>
      <c r="B384" s="969"/>
      <c r="C384" s="970"/>
      <c r="D384" s="971"/>
      <c r="E384" s="968"/>
      <c r="F384" s="972"/>
      <c r="G384" s="972"/>
      <c r="H384" s="403" t="s">
        <v>649</v>
      </c>
      <c r="I384" s="403" t="s">
        <v>649</v>
      </c>
      <c r="J384" s="967"/>
      <c r="K384" s="967"/>
      <c r="L384" s="965"/>
      <c r="M384" s="965"/>
      <c r="N384" s="967"/>
      <c r="O384" s="967"/>
      <c r="P384" s="965"/>
      <c r="Q384" s="965"/>
      <c r="R384" s="967"/>
      <c r="S384" s="965"/>
      <c r="T384" s="965"/>
      <c r="U384" s="967"/>
      <c r="V384" s="965"/>
      <c r="W384" s="965"/>
    </row>
    <row r="385" spans="1:23" ht="14.25" customHeight="1">
      <c r="A385" s="968"/>
      <c r="B385" s="969"/>
      <c r="C385" s="970"/>
      <c r="D385" s="971"/>
      <c r="E385" s="968"/>
      <c r="F385" s="972"/>
      <c r="G385" s="972"/>
      <c r="H385" s="403" t="s">
        <v>649</v>
      </c>
      <c r="I385" s="403" t="s">
        <v>649</v>
      </c>
      <c r="J385" s="967"/>
      <c r="K385" s="967"/>
      <c r="L385" s="965"/>
      <c r="M385" s="965"/>
      <c r="N385" s="967"/>
      <c r="O385" s="967"/>
      <c r="P385" s="965"/>
      <c r="Q385" s="965"/>
      <c r="R385" s="967"/>
      <c r="S385" s="965"/>
      <c r="T385" s="965"/>
      <c r="U385" s="967"/>
      <c r="V385" s="965"/>
      <c r="W385" s="965"/>
    </row>
    <row r="386" spans="1:23" ht="14.25" customHeight="1">
      <c r="A386" s="968"/>
      <c r="B386" s="969"/>
      <c r="C386" s="970"/>
      <c r="D386" s="971"/>
      <c r="E386" s="968"/>
      <c r="F386" s="972"/>
      <c r="G386" s="972"/>
      <c r="H386" s="403" t="s">
        <v>649</v>
      </c>
      <c r="I386" s="403" t="s">
        <v>649</v>
      </c>
      <c r="J386" s="967"/>
      <c r="K386" s="967"/>
      <c r="L386" s="965"/>
      <c r="M386" s="965"/>
      <c r="N386" s="967"/>
      <c r="O386" s="967"/>
      <c r="P386" s="965"/>
      <c r="Q386" s="965"/>
      <c r="R386" s="967"/>
      <c r="S386" s="965"/>
      <c r="T386" s="965"/>
      <c r="U386" s="967"/>
      <c r="V386" s="965"/>
      <c r="W386" s="965"/>
    </row>
    <row r="387" spans="1:23" ht="14.25" customHeight="1">
      <c r="A387" s="968"/>
      <c r="B387" s="969"/>
      <c r="C387" s="970"/>
      <c r="D387" s="971"/>
      <c r="E387" s="968"/>
      <c r="F387" s="972"/>
      <c r="G387" s="972"/>
      <c r="H387" s="403" t="s">
        <v>649</v>
      </c>
      <c r="I387" s="403" t="s">
        <v>649</v>
      </c>
      <c r="J387" s="967"/>
      <c r="K387" s="967"/>
      <c r="L387" s="965"/>
      <c r="M387" s="965"/>
      <c r="N387" s="967"/>
      <c r="O387" s="967"/>
      <c r="P387" s="965"/>
      <c r="Q387" s="965"/>
      <c r="R387" s="967"/>
      <c r="S387" s="965"/>
      <c r="T387" s="965"/>
      <c r="U387" s="967"/>
      <c r="V387" s="965"/>
      <c r="W387" s="965"/>
    </row>
    <row r="388" spans="1:23" ht="13.5" customHeight="1">
      <c r="A388" s="968">
        <v>8</v>
      </c>
      <c r="B388" s="969" t="s">
        <v>666</v>
      </c>
      <c r="C388" s="970" t="s">
        <v>592</v>
      </c>
      <c r="D388" s="971" t="s">
        <v>667</v>
      </c>
      <c r="E388" s="968" t="s">
        <v>502</v>
      </c>
      <c r="F388" s="972" t="s">
        <v>668</v>
      </c>
      <c r="G388" s="972" t="s">
        <v>648</v>
      </c>
      <c r="H388" s="403" t="s">
        <v>649</v>
      </c>
      <c r="I388" s="403" t="s">
        <v>649</v>
      </c>
      <c r="J388" s="967">
        <f>K388+N388</f>
        <v>2677000</v>
      </c>
      <c r="K388" s="967">
        <f>L388+M388</f>
        <v>0</v>
      </c>
      <c r="L388" s="965">
        <v>0</v>
      </c>
      <c r="M388" s="965">
        <v>0</v>
      </c>
      <c r="N388" s="967">
        <f>O388+R388+U388</f>
        <v>2677000</v>
      </c>
      <c r="O388" s="967">
        <f>P388+Q388</f>
        <v>2677000</v>
      </c>
      <c r="P388" s="965">
        <v>2665000</v>
      </c>
      <c r="Q388" s="965">
        <v>12000</v>
      </c>
      <c r="R388" s="967">
        <f>S388+T388</f>
        <v>0</v>
      </c>
      <c r="S388" s="965">
        <v>0</v>
      </c>
      <c r="T388" s="965">
        <v>0</v>
      </c>
      <c r="U388" s="967">
        <f>V388+W388</f>
        <v>0</v>
      </c>
      <c r="V388" s="965">
        <v>0</v>
      </c>
      <c r="W388" s="965">
        <v>0</v>
      </c>
    </row>
    <row r="389" spans="1:23" ht="13.5" customHeight="1">
      <c r="A389" s="968"/>
      <c r="B389" s="969"/>
      <c r="C389" s="970"/>
      <c r="D389" s="971"/>
      <c r="E389" s="968"/>
      <c r="F389" s="972"/>
      <c r="G389" s="972"/>
      <c r="H389" s="403" t="s">
        <v>649</v>
      </c>
      <c r="I389" s="403" t="s">
        <v>649</v>
      </c>
      <c r="J389" s="967"/>
      <c r="K389" s="967"/>
      <c r="L389" s="965"/>
      <c r="M389" s="965"/>
      <c r="N389" s="967"/>
      <c r="O389" s="967"/>
      <c r="P389" s="965"/>
      <c r="Q389" s="965"/>
      <c r="R389" s="967"/>
      <c r="S389" s="965"/>
      <c r="T389" s="965"/>
      <c r="U389" s="967"/>
      <c r="V389" s="965"/>
      <c r="W389" s="965"/>
    </row>
    <row r="390" spans="1:23" ht="13.5" customHeight="1">
      <c r="A390" s="968"/>
      <c r="B390" s="969"/>
      <c r="C390" s="970"/>
      <c r="D390" s="971"/>
      <c r="E390" s="968"/>
      <c r="F390" s="972"/>
      <c r="G390" s="972"/>
      <c r="H390" s="403" t="s">
        <v>649</v>
      </c>
      <c r="I390" s="403" t="s">
        <v>649</v>
      </c>
      <c r="J390" s="967"/>
      <c r="K390" s="967"/>
      <c r="L390" s="965"/>
      <c r="M390" s="965"/>
      <c r="N390" s="967"/>
      <c r="O390" s="967"/>
      <c r="P390" s="965"/>
      <c r="Q390" s="965"/>
      <c r="R390" s="967"/>
      <c r="S390" s="965"/>
      <c r="T390" s="965"/>
      <c r="U390" s="967"/>
      <c r="V390" s="965"/>
      <c r="W390" s="965"/>
    </row>
    <row r="391" spans="1:23" ht="13.5" customHeight="1">
      <c r="A391" s="968"/>
      <c r="B391" s="969"/>
      <c r="C391" s="970"/>
      <c r="D391" s="971"/>
      <c r="E391" s="968"/>
      <c r="F391" s="972"/>
      <c r="G391" s="972"/>
      <c r="H391" s="403" t="s">
        <v>649</v>
      </c>
      <c r="I391" s="403" t="s">
        <v>649</v>
      </c>
      <c r="J391" s="967"/>
      <c r="K391" s="967"/>
      <c r="L391" s="965"/>
      <c r="M391" s="965"/>
      <c r="N391" s="967"/>
      <c r="O391" s="967"/>
      <c r="P391" s="965"/>
      <c r="Q391" s="965"/>
      <c r="R391" s="967"/>
      <c r="S391" s="965"/>
      <c r="T391" s="965"/>
      <c r="U391" s="967"/>
      <c r="V391" s="965"/>
      <c r="W391" s="965"/>
    </row>
    <row r="392" spans="1:23" ht="13.5" customHeight="1">
      <c r="A392" s="968"/>
      <c r="B392" s="969"/>
      <c r="C392" s="970"/>
      <c r="D392" s="971"/>
      <c r="E392" s="968"/>
      <c r="F392" s="972"/>
      <c r="G392" s="972"/>
      <c r="H392" s="403" t="s">
        <v>649</v>
      </c>
      <c r="I392" s="403" t="s">
        <v>649</v>
      </c>
      <c r="J392" s="967"/>
      <c r="K392" s="967"/>
      <c r="L392" s="965"/>
      <c r="M392" s="965"/>
      <c r="N392" s="967"/>
      <c r="O392" s="967"/>
      <c r="P392" s="965"/>
      <c r="Q392" s="965"/>
      <c r="R392" s="967"/>
      <c r="S392" s="965"/>
      <c r="T392" s="965"/>
      <c r="U392" s="967"/>
      <c r="V392" s="965"/>
      <c r="W392" s="965"/>
    </row>
    <row r="393" spans="1:23" ht="12.75" customHeight="1">
      <c r="A393" s="968">
        <v>9</v>
      </c>
      <c r="B393" s="969" t="s">
        <v>669</v>
      </c>
      <c r="C393" s="970" t="s">
        <v>602</v>
      </c>
      <c r="D393" s="971" t="s">
        <v>670</v>
      </c>
      <c r="E393" s="968" t="s">
        <v>502</v>
      </c>
      <c r="F393" s="972" t="s">
        <v>671</v>
      </c>
      <c r="G393" s="972" t="s">
        <v>648</v>
      </c>
      <c r="H393" s="403" t="s">
        <v>649</v>
      </c>
      <c r="I393" s="403" t="s">
        <v>649</v>
      </c>
      <c r="J393" s="967">
        <f>K393+N393</f>
        <v>242000</v>
      </c>
      <c r="K393" s="967">
        <f>L393+M393</f>
        <v>0</v>
      </c>
      <c r="L393" s="965">
        <v>0</v>
      </c>
      <c r="M393" s="965">
        <v>0</v>
      </c>
      <c r="N393" s="967">
        <f>O393+R393+U393</f>
        <v>242000</v>
      </c>
      <c r="O393" s="967">
        <f>P393+Q393</f>
        <v>242000</v>
      </c>
      <c r="P393" s="965">
        <v>239000</v>
      </c>
      <c r="Q393" s="965">
        <v>3000</v>
      </c>
      <c r="R393" s="967">
        <f>S393+T393</f>
        <v>0</v>
      </c>
      <c r="S393" s="965">
        <v>0</v>
      </c>
      <c r="T393" s="965">
        <v>0</v>
      </c>
      <c r="U393" s="967">
        <f>V393+W393</f>
        <v>0</v>
      </c>
      <c r="V393" s="965">
        <v>0</v>
      </c>
      <c r="W393" s="965">
        <v>0</v>
      </c>
    </row>
    <row r="394" spans="1:23" ht="12.75" customHeight="1">
      <c r="A394" s="968"/>
      <c r="B394" s="969"/>
      <c r="C394" s="970"/>
      <c r="D394" s="971"/>
      <c r="E394" s="968"/>
      <c r="F394" s="972"/>
      <c r="G394" s="972"/>
      <c r="H394" s="403" t="s">
        <v>649</v>
      </c>
      <c r="I394" s="403" t="s">
        <v>649</v>
      </c>
      <c r="J394" s="967"/>
      <c r="K394" s="967"/>
      <c r="L394" s="965"/>
      <c r="M394" s="965"/>
      <c r="N394" s="967"/>
      <c r="O394" s="967"/>
      <c r="P394" s="965"/>
      <c r="Q394" s="965"/>
      <c r="R394" s="967"/>
      <c r="S394" s="965"/>
      <c r="T394" s="965"/>
      <c r="U394" s="967"/>
      <c r="V394" s="965"/>
      <c r="W394" s="965"/>
    </row>
    <row r="395" spans="1:23" ht="12.75" customHeight="1">
      <c r="A395" s="968"/>
      <c r="B395" s="969"/>
      <c r="C395" s="970"/>
      <c r="D395" s="971"/>
      <c r="E395" s="968"/>
      <c r="F395" s="972"/>
      <c r="G395" s="972"/>
      <c r="H395" s="403" t="s">
        <v>649</v>
      </c>
      <c r="I395" s="403" t="s">
        <v>649</v>
      </c>
      <c r="J395" s="967"/>
      <c r="K395" s="967"/>
      <c r="L395" s="965"/>
      <c r="M395" s="965"/>
      <c r="N395" s="967"/>
      <c r="O395" s="967"/>
      <c r="P395" s="965"/>
      <c r="Q395" s="965"/>
      <c r="R395" s="967"/>
      <c r="S395" s="965"/>
      <c r="T395" s="965"/>
      <c r="U395" s="967"/>
      <c r="V395" s="965"/>
      <c r="W395" s="965"/>
    </row>
    <row r="396" spans="1:23" ht="12.75" customHeight="1">
      <c r="A396" s="968"/>
      <c r="B396" s="969"/>
      <c r="C396" s="970"/>
      <c r="D396" s="971"/>
      <c r="E396" s="968"/>
      <c r="F396" s="972"/>
      <c r="G396" s="972"/>
      <c r="H396" s="403" t="s">
        <v>649</v>
      </c>
      <c r="I396" s="403" t="s">
        <v>649</v>
      </c>
      <c r="J396" s="967"/>
      <c r="K396" s="967"/>
      <c r="L396" s="965"/>
      <c r="M396" s="965"/>
      <c r="N396" s="967"/>
      <c r="O396" s="967"/>
      <c r="P396" s="965"/>
      <c r="Q396" s="965"/>
      <c r="R396" s="967"/>
      <c r="S396" s="965"/>
      <c r="T396" s="965"/>
      <c r="U396" s="967"/>
      <c r="V396" s="965"/>
      <c r="W396" s="965"/>
    </row>
    <row r="397" spans="1:23" ht="12.75" customHeight="1">
      <c r="A397" s="968"/>
      <c r="B397" s="969"/>
      <c r="C397" s="970"/>
      <c r="D397" s="971"/>
      <c r="E397" s="968"/>
      <c r="F397" s="972"/>
      <c r="G397" s="972"/>
      <c r="H397" s="403" t="s">
        <v>649</v>
      </c>
      <c r="I397" s="403" t="s">
        <v>649</v>
      </c>
      <c r="J397" s="967"/>
      <c r="K397" s="967"/>
      <c r="L397" s="965"/>
      <c r="M397" s="965"/>
      <c r="N397" s="967"/>
      <c r="O397" s="967"/>
      <c r="P397" s="965"/>
      <c r="Q397" s="965"/>
      <c r="R397" s="967"/>
      <c r="S397" s="965"/>
      <c r="T397" s="965"/>
      <c r="U397" s="967"/>
      <c r="V397" s="965"/>
      <c r="W397" s="965"/>
    </row>
    <row r="398" spans="1:23" ht="14.25" customHeight="1">
      <c r="A398" s="968">
        <v>10</v>
      </c>
      <c r="B398" s="969" t="s">
        <v>672</v>
      </c>
      <c r="C398" s="970" t="s">
        <v>602</v>
      </c>
      <c r="D398" s="971" t="s">
        <v>673</v>
      </c>
      <c r="E398" s="968" t="s">
        <v>502</v>
      </c>
      <c r="F398" s="972" t="s">
        <v>665</v>
      </c>
      <c r="G398" s="972" t="s">
        <v>648</v>
      </c>
      <c r="H398" s="403" t="s">
        <v>649</v>
      </c>
      <c r="I398" s="403" t="s">
        <v>649</v>
      </c>
      <c r="J398" s="967">
        <f>K398+N398</f>
        <v>1007000</v>
      </c>
      <c r="K398" s="967">
        <f>L398+M398</f>
        <v>0</v>
      </c>
      <c r="L398" s="965">
        <v>0</v>
      </c>
      <c r="M398" s="965">
        <v>0</v>
      </c>
      <c r="N398" s="967">
        <f>O398+R398+U398</f>
        <v>1007000</v>
      </c>
      <c r="O398" s="967">
        <f>P398+Q398</f>
        <v>1007000</v>
      </c>
      <c r="P398" s="965">
        <v>920000</v>
      </c>
      <c r="Q398" s="965">
        <v>87000</v>
      </c>
      <c r="R398" s="967">
        <f>S398+T398</f>
        <v>0</v>
      </c>
      <c r="S398" s="965">
        <v>0</v>
      </c>
      <c r="T398" s="965">
        <v>0</v>
      </c>
      <c r="U398" s="967">
        <f>V398+W398</f>
        <v>0</v>
      </c>
      <c r="V398" s="965">
        <v>0</v>
      </c>
      <c r="W398" s="965">
        <v>0</v>
      </c>
    </row>
    <row r="399" spans="1:23" ht="14.25" customHeight="1">
      <c r="A399" s="968"/>
      <c r="B399" s="969"/>
      <c r="C399" s="970"/>
      <c r="D399" s="971"/>
      <c r="E399" s="968"/>
      <c r="F399" s="972"/>
      <c r="G399" s="972"/>
      <c r="H399" s="403" t="s">
        <v>649</v>
      </c>
      <c r="I399" s="403" t="s">
        <v>649</v>
      </c>
      <c r="J399" s="967"/>
      <c r="K399" s="967"/>
      <c r="L399" s="965"/>
      <c r="M399" s="965"/>
      <c r="N399" s="967"/>
      <c r="O399" s="967"/>
      <c r="P399" s="965"/>
      <c r="Q399" s="965"/>
      <c r="R399" s="967"/>
      <c r="S399" s="965"/>
      <c r="T399" s="965"/>
      <c r="U399" s="967"/>
      <c r="V399" s="965"/>
      <c r="W399" s="965"/>
    </row>
    <row r="400" spans="1:23" ht="14.25" customHeight="1">
      <c r="A400" s="968"/>
      <c r="B400" s="969"/>
      <c r="C400" s="970"/>
      <c r="D400" s="971"/>
      <c r="E400" s="968"/>
      <c r="F400" s="972"/>
      <c r="G400" s="972"/>
      <c r="H400" s="403" t="s">
        <v>649</v>
      </c>
      <c r="I400" s="403" t="s">
        <v>649</v>
      </c>
      <c r="J400" s="967"/>
      <c r="K400" s="967"/>
      <c r="L400" s="965"/>
      <c r="M400" s="965"/>
      <c r="N400" s="967"/>
      <c r="O400" s="967"/>
      <c r="P400" s="965"/>
      <c r="Q400" s="965"/>
      <c r="R400" s="967"/>
      <c r="S400" s="965"/>
      <c r="T400" s="965"/>
      <c r="U400" s="967"/>
      <c r="V400" s="965"/>
      <c r="W400" s="965"/>
    </row>
    <row r="401" spans="1:23" ht="14.25" customHeight="1">
      <c r="A401" s="968"/>
      <c r="B401" s="969"/>
      <c r="C401" s="970"/>
      <c r="D401" s="971"/>
      <c r="E401" s="968"/>
      <c r="F401" s="972"/>
      <c r="G401" s="972"/>
      <c r="H401" s="403" t="s">
        <v>649</v>
      </c>
      <c r="I401" s="403" t="s">
        <v>649</v>
      </c>
      <c r="J401" s="967"/>
      <c r="K401" s="967"/>
      <c r="L401" s="965"/>
      <c r="M401" s="965"/>
      <c r="N401" s="967"/>
      <c r="O401" s="967"/>
      <c r="P401" s="965"/>
      <c r="Q401" s="965"/>
      <c r="R401" s="967"/>
      <c r="S401" s="965"/>
      <c r="T401" s="965"/>
      <c r="U401" s="967"/>
      <c r="V401" s="965"/>
      <c r="W401" s="965"/>
    </row>
    <row r="402" spans="1:23" ht="14.25" customHeight="1">
      <c r="A402" s="968"/>
      <c r="B402" s="969"/>
      <c r="C402" s="970"/>
      <c r="D402" s="971"/>
      <c r="E402" s="968"/>
      <c r="F402" s="972"/>
      <c r="G402" s="972"/>
      <c r="H402" s="403" t="s">
        <v>649</v>
      </c>
      <c r="I402" s="403" t="s">
        <v>649</v>
      </c>
      <c r="J402" s="967"/>
      <c r="K402" s="967"/>
      <c r="L402" s="965"/>
      <c r="M402" s="965"/>
      <c r="N402" s="967"/>
      <c r="O402" s="967"/>
      <c r="P402" s="965"/>
      <c r="Q402" s="965"/>
      <c r="R402" s="967"/>
      <c r="S402" s="965"/>
      <c r="T402" s="965"/>
      <c r="U402" s="967"/>
      <c r="V402" s="965"/>
      <c r="W402" s="965"/>
    </row>
    <row r="403" spans="1:23" ht="14.25" customHeight="1">
      <c r="A403" s="968">
        <v>11</v>
      </c>
      <c r="B403" s="969" t="s">
        <v>601</v>
      </c>
      <c r="C403" s="970" t="s">
        <v>602</v>
      </c>
      <c r="D403" s="971" t="s">
        <v>674</v>
      </c>
      <c r="E403" s="968" t="s">
        <v>502</v>
      </c>
      <c r="F403" s="972" t="s">
        <v>675</v>
      </c>
      <c r="G403" s="972" t="s">
        <v>648</v>
      </c>
      <c r="H403" s="403" t="s">
        <v>649</v>
      </c>
      <c r="I403" s="403" t="s">
        <v>649</v>
      </c>
      <c r="J403" s="967">
        <f>K403+N403</f>
        <v>6355000</v>
      </c>
      <c r="K403" s="967">
        <f>L403+M403</f>
        <v>0</v>
      </c>
      <c r="L403" s="965">
        <v>0</v>
      </c>
      <c r="M403" s="965">
        <v>0</v>
      </c>
      <c r="N403" s="967">
        <f>O403+R403+U403</f>
        <v>6355000</v>
      </c>
      <c r="O403" s="967">
        <f>P403+Q403</f>
        <v>6355000</v>
      </c>
      <c r="P403" s="965">
        <v>6160000</v>
      </c>
      <c r="Q403" s="965">
        <v>195000</v>
      </c>
      <c r="R403" s="967">
        <f>S403+T403</f>
        <v>0</v>
      </c>
      <c r="S403" s="965">
        <v>0</v>
      </c>
      <c r="T403" s="965">
        <v>0</v>
      </c>
      <c r="U403" s="967">
        <f>V403+W403</f>
        <v>0</v>
      </c>
      <c r="V403" s="965">
        <v>0</v>
      </c>
      <c r="W403" s="965">
        <v>0</v>
      </c>
    </row>
    <row r="404" spans="1:23" ht="14.25" customHeight="1">
      <c r="A404" s="968"/>
      <c r="B404" s="969"/>
      <c r="C404" s="970"/>
      <c r="D404" s="971"/>
      <c r="E404" s="968"/>
      <c r="F404" s="972"/>
      <c r="G404" s="972"/>
      <c r="H404" s="403" t="s">
        <v>649</v>
      </c>
      <c r="I404" s="403" t="s">
        <v>649</v>
      </c>
      <c r="J404" s="967"/>
      <c r="K404" s="967"/>
      <c r="L404" s="965"/>
      <c r="M404" s="965"/>
      <c r="N404" s="967"/>
      <c r="O404" s="967"/>
      <c r="P404" s="965"/>
      <c r="Q404" s="965"/>
      <c r="R404" s="967"/>
      <c r="S404" s="965"/>
      <c r="T404" s="965"/>
      <c r="U404" s="967"/>
      <c r="V404" s="965"/>
      <c r="W404" s="965"/>
    </row>
    <row r="405" spans="1:23" ht="14.25" customHeight="1">
      <c r="A405" s="968"/>
      <c r="B405" s="969"/>
      <c r="C405" s="970"/>
      <c r="D405" s="971"/>
      <c r="E405" s="968"/>
      <c r="F405" s="972"/>
      <c r="G405" s="972"/>
      <c r="H405" s="403" t="s">
        <v>649</v>
      </c>
      <c r="I405" s="403" t="s">
        <v>649</v>
      </c>
      <c r="J405" s="967"/>
      <c r="K405" s="967"/>
      <c r="L405" s="965"/>
      <c r="M405" s="965"/>
      <c r="N405" s="967"/>
      <c r="O405" s="967"/>
      <c r="P405" s="965"/>
      <c r="Q405" s="965"/>
      <c r="R405" s="967"/>
      <c r="S405" s="965"/>
      <c r="T405" s="965"/>
      <c r="U405" s="967"/>
      <c r="V405" s="965"/>
      <c r="W405" s="965"/>
    </row>
    <row r="406" spans="1:23" ht="14.25" customHeight="1">
      <c r="A406" s="968"/>
      <c r="B406" s="969"/>
      <c r="C406" s="970"/>
      <c r="D406" s="971"/>
      <c r="E406" s="968"/>
      <c r="F406" s="972"/>
      <c r="G406" s="972"/>
      <c r="H406" s="403" t="s">
        <v>649</v>
      </c>
      <c r="I406" s="403" t="s">
        <v>649</v>
      </c>
      <c r="J406" s="967"/>
      <c r="K406" s="967"/>
      <c r="L406" s="965"/>
      <c r="M406" s="965"/>
      <c r="N406" s="967"/>
      <c r="O406" s="967"/>
      <c r="P406" s="965"/>
      <c r="Q406" s="965"/>
      <c r="R406" s="967"/>
      <c r="S406" s="965"/>
      <c r="T406" s="965"/>
      <c r="U406" s="967"/>
      <c r="V406" s="965"/>
      <c r="W406" s="965"/>
    </row>
    <row r="407" spans="1:23" ht="14.25" customHeight="1">
      <c r="A407" s="968"/>
      <c r="B407" s="969"/>
      <c r="C407" s="970"/>
      <c r="D407" s="971"/>
      <c r="E407" s="968"/>
      <c r="F407" s="972"/>
      <c r="G407" s="972"/>
      <c r="H407" s="403" t="s">
        <v>649</v>
      </c>
      <c r="I407" s="403" t="s">
        <v>649</v>
      </c>
      <c r="J407" s="967"/>
      <c r="K407" s="967"/>
      <c r="L407" s="965"/>
      <c r="M407" s="965"/>
      <c r="N407" s="967"/>
      <c r="O407" s="967"/>
      <c r="P407" s="965"/>
      <c r="Q407" s="965"/>
      <c r="R407" s="967"/>
      <c r="S407" s="965"/>
      <c r="T407" s="965"/>
      <c r="U407" s="967"/>
      <c r="V407" s="965"/>
      <c r="W407" s="965"/>
    </row>
    <row r="408" spans="1:23" ht="15" customHeight="1">
      <c r="A408" s="968">
        <v>12</v>
      </c>
      <c r="B408" s="969" t="s">
        <v>676</v>
      </c>
      <c r="C408" s="970" t="s">
        <v>606</v>
      </c>
      <c r="D408" s="971" t="s">
        <v>677</v>
      </c>
      <c r="E408" s="968" t="s">
        <v>502</v>
      </c>
      <c r="F408" s="972" t="s">
        <v>678</v>
      </c>
      <c r="G408" s="972" t="s">
        <v>648</v>
      </c>
      <c r="H408" s="403" t="s">
        <v>649</v>
      </c>
      <c r="I408" s="403" t="s">
        <v>649</v>
      </c>
      <c r="J408" s="967">
        <f>K408+N408</f>
        <v>2030000</v>
      </c>
      <c r="K408" s="967">
        <f>L408+M408</f>
        <v>0</v>
      </c>
      <c r="L408" s="965">
        <v>0</v>
      </c>
      <c r="M408" s="965">
        <v>0</v>
      </c>
      <c r="N408" s="967">
        <f>O408+R408+U408</f>
        <v>2030000</v>
      </c>
      <c r="O408" s="967">
        <f>P408+Q408</f>
        <v>2030000</v>
      </c>
      <c r="P408" s="965">
        <v>1950000</v>
      </c>
      <c r="Q408" s="965">
        <v>80000</v>
      </c>
      <c r="R408" s="967">
        <f>S408+T408</f>
        <v>0</v>
      </c>
      <c r="S408" s="965">
        <v>0</v>
      </c>
      <c r="T408" s="965">
        <v>0</v>
      </c>
      <c r="U408" s="967">
        <f>V408+W408</f>
        <v>0</v>
      </c>
      <c r="V408" s="965">
        <v>0</v>
      </c>
      <c r="W408" s="965">
        <v>0</v>
      </c>
    </row>
    <row r="409" spans="1:23" ht="15" customHeight="1">
      <c r="A409" s="968"/>
      <c r="B409" s="969"/>
      <c r="C409" s="970"/>
      <c r="D409" s="971"/>
      <c r="E409" s="968"/>
      <c r="F409" s="972"/>
      <c r="G409" s="972"/>
      <c r="H409" s="403" t="s">
        <v>649</v>
      </c>
      <c r="I409" s="403" t="s">
        <v>649</v>
      </c>
      <c r="J409" s="967"/>
      <c r="K409" s="967"/>
      <c r="L409" s="965"/>
      <c r="M409" s="965"/>
      <c r="N409" s="967"/>
      <c r="O409" s="967"/>
      <c r="P409" s="965"/>
      <c r="Q409" s="965"/>
      <c r="R409" s="967"/>
      <c r="S409" s="965"/>
      <c r="T409" s="965"/>
      <c r="U409" s="967"/>
      <c r="V409" s="965"/>
      <c r="W409" s="965"/>
    </row>
    <row r="410" spans="1:23" ht="15" customHeight="1">
      <c r="A410" s="968"/>
      <c r="B410" s="969"/>
      <c r="C410" s="970"/>
      <c r="D410" s="971"/>
      <c r="E410" s="968"/>
      <c r="F410" s="972"/>
      <c r="G410" s="972"/>
      <c r="H410" s="403" t="s">
        <v>649</v>
      </c>
      <c r="I410" s="403" t="s">
        <v>649</v>
      </c>
      <c r="J410" s="967"/>
      <c r="K410" s="967"/>
      <c r="L410" s="965"/>
      <c r="M410" s="965"/>
      <c r="N410" s="967"/>
      <c r="O410" s="967"/>
      <c r="P410" s="965"/>
      <c r="Q410" s="965"/>
      <c r="R410" s="967"/>
      <c r="S410" s="965"/>
      <c r="T410" s="965"/>
      <c r="U410" s="967"/>
      <c r="V410" s="965"/>
      <c r="W410" s="965"/>
    </row>
    <row r="411" spans="1:23" ht="15" customHeight="1">
      <c r="A411" s="968"/>
      <c r="B411" s="969"/>
      <c r="C411" s="970"/>
      <c r="D411" s="971"/>
      <c r="E411" s="968"/>
      <c r="F411" s="972"/>
      <c r="G411" s="972"/>
      <c r="H411" s="403" t="s">
        <v>649</v>
      </c>
      <c r="I411" s="403" t="s">
        <v>649</v>
      </c>
      <c r="J411" s="967"/>
      <c r="K411" s="967"/>
      <c r="L411" s="965"/>
      <c r="M411" s="965"/>
      <c r="N411" s="967"/>
      <c r="O411" s="967"/>
      <c r="P411" s="965"/>
      <c r="Q411" s="965"/>
      <c r="R411" s="967"/>
      <c r="S411" s="965"/>
      <c r="T411" s="965"/>
      <c r="U411" s="967"/>
      <c r="V411" s="965"/>
      <c r="W411" s="965"/>
    </row>
    <row r="412" spans="1:23" ht="15" customHeight="1">
      <c r="A412" s="968"/>
      <c r="B412" s="969"/>
      <c r="C412" s="970"/>
      <c r="D412" s="971"/>
      <c r="E412" s="968"/>
      <c r="F412" s="972"/>
      <c r="G412" s="972"/>
      <c r="H412" s="403" t="s">
        <v>649</v>
      </c>
      <c r="I412" s="403" t="s">
        <v>649</v>
      </c>
      <c r="J412" s="967"/>
      <c r="K412" s="967"/>
      <c r="L412" s="965"/>
      <c r="M412" s="965"/>
      <c r="N412" s="967"/>
      <c r="O412" s="967"/>
      <c r="P412" s="965"/>
      <c r="Q412" s="965"/>
      <c r="R412" s="967"/>
      <c r="S412" s="965"/>
      <c r="T412" s="965"/>
      <c r="U412" s="967"/>
      <c r="V412" s="965"/>
      <c r="W412" s="965"/>
    </row>
    <row r="413" spans="1:23" ht="16.5" customHeight="1">
      <c r="A413" s="968">
        <v>13</v>
      </c>
      <c r="B413" s="969" t="s">
        <v>679</v>
      </c>
      <c r="C413" s="970" t="s">
        <v>611</v>
      </c>
      <c r="D413" s="971" t="s">
        <v>680</v>
      </c>
      <c r="E413" s="968" t="s">
        <v>502</v>
      </c>
      <c r="F413" s="972" t="s">
        <v>681</v>
      </c>
      <c r="G413" s="972" t="s">
        <v>648</v>
      </c>
      <c r="H413" s="403" t="s">
        <v>649</v>
      </c>
      <c r="I413" s="403" t="s">
        <v>649</v>
      </c>
      <c r="J413" s="967">
        <f>K413+N413</f>
        <v>482386</v>
      </c>
      <c r="K413" s="967">
        <f>L413+M413</f>
        <v>0</v>
      </c>
      <c r="L413" s="965">
        <v>0</v>
      </c>
      <c r="M413" s="965">
        <v>0</v>
      </c>
      <c r="N413" s="967">
        <f>O413+R413+U413</f>
        <v>482386</v>
      </c>
      <c r="O413" s="967">
        <f>P413+Q413</f>
        <v>482386</v>
      </c>
      <c r="P413" s="965">
        <v>482386</v>
      </c>
      <c r="Q413" s="965">
        <v>0</v>
      </c>
      <c r="R413" s="967">
        <f>S413+T413</f>
        <v>0</v>
      </c>
      <c r="S413" s="965">
        <v>0</v>
      </c>
      <c r="T413" s="965">
        <v>0</v>
      </c>
      <c r="U413" s="967">
        <f>V413+W413</f>
        <v>0</v>
      </c>
      <c r="V413" s="965">
        <v>0</v>
      </c>
      <c r="W413" s="965">
        <v>0</v>
      </c>
    </row>
    <row r="414" spans="1:23" ht="16.5" customHeight="1">
      <c r="A414" s="968"/>
      <c r="B414" s="969"/>
      <c r="C414" s="970"/>
      <c r="D414" s="971"/>
      <c r="E414" s="968"/>
      <c r="F414" s="972"/>
      <c r="G414" s="972"/>
      <c r="H414" s="403" t="s">
        <v>649</v>
      </c>
      <c r="I414" s="403" t="s">
        <v>649</v>
      </c>
      <c r="J414" s="967"/>
      <c r="K414" s="967"/>
      <c r="L414" s="965"/>
      <c r="M414" s="965"/>
      <c r="N414" s="967"/>
      <c r="O414" s="967"/>
      <c r="P414" s="965"/>
      <c r="Q414" s="965"/>
      <c r="R414" s="967"/>
      <c r="S414" s="965"/>
      <c r="T414" s="965"/>
      <c r="U414" s="967"/>
      <c r="V414" s="965"/>
      <c r="W414" s="965"/>
    </row>
    <row r="415" spans="1:23" ht="16.5" customHeight="1">
      <c r="A415" s="968"/>
      <c r="B415" s="969"/>
      <c r="C415" s="970"/>
      <c r="D415" s="971"/>
      <c r="E415" s="968"/>
      <c r="F415" s="972"/>
      <c r="G415" s="972"/>
      <c r="H415" s="403" t="s">
        <v>649</v>
      </c>
      <c r="I415" s="403" t="s">
        <v>649</v>
      </c>
      <c r="J415" s="967"/>
      <c r="K415" s="967"/>
      <c r="L415" s="965"/>
      <c r="M415" s="965"/>
      <c r="N415" s="967"/>
      <c r="O415" s="967"/>
      <c r="P415" s="965"/>
      <c r="Q415" s="965"/>
      <c r="R415" s="967"/>
      <c r="S415" s="965"/>
      <c r="T415" s="965"/>
      <c r="U415" s="967"/>
      <c r="V415" s="965"/>
      <c r="W415" s="965"/>
    </row>
    <row r="416" spans="1:23" ht="16.5" customHeight="1">
      <c r="A416" s="968"/>
      <c r="B416" s="969"/>
      <c r="C416" s="970"/>
      <c r="D416" s="971"/>
      <c r="E416" s="968"/>
      <c r="F416" s="972"/>
      <c r="G416" s="972"/>
      <c r="H416" s="403" t="s">
        <v>649</v>
      </c>
      <c r="I416" s="403" t="s">
        <v>649</v>
      </c>
      <c r="J416" s="967"/>
      <c r="K416" s="967"/>
      <c r="L416" s="965"/>
      <c r="M416" s="965"/>
      <c r="N416" s="967"/>
      <c r="O416" s="967"/>
      <c r="P416" s="965"/>
      <c r="Q416" s="965"/>
      <c r="R416" s="967"/>
      <c r="S416" s="965"/>
      <c r="T416" s="965"/>
      <c r="U416" s="967"/>
      <c r="V416" s="965"/>
      <c r="W416" s="965"/>
    </row>
    <row r="417" spans="1:23" ht="16.5" customHeight="1">
      <c r="A417" s="968"/>
      <c r="B417" s="969"/>
      <c r="C417" s="970"/>
      <c r="D417" s="971"/>
      <c r="E417" s="968"/>
      <c r="F417" s="972"/>
      <c r="G417" s="972"/>
      <c r="H417" s="403" t="s">
        <v>649</v>
      </c>
      <c r="I417" s="403" t="s">
        <v>649</v>
      </c>
      <c r="J417" s="967"/>
      <c r="K417" s="967"/>
      <c r="L417" s="965"/>
      <c r="M417" s="965"/>
      <c r="N417" s="967"/>
      <c r="O417" s="967"/>
      <c r="P417" s="965"/>
      <c r="Q417" s="965"/>
      <c r="R417" s="967"/>
      <c r="S417" s="965"/>
      <c r="T417" s="965"/>
      <c r="U417" s="967"/>
      <c r="V417" s="965"/>
      <c r="W417" s="965"/>
    </row>
    <row r="418" spans="1:23" ht="16.5" customHeight="1">
      <c r="A418" s="968">
        <v>14</v>
      </c>
      <c r="B418" s="969" t="s">
        <v>682</v>
      </c>
      <c r="C418" s="970" t="s">
        <v>620</v>
      </c>
      <c r="D418" s="971" t="s">
        <v>683</v>
      </c>
      <c r="E418" s="968" t="s">
        <v>502</v>
      </c>
      <c r="F418" s="972" t="s">
        <v>681</v>
      </c>
      <c r="G418" s="972" t="s">
        <v>648</v>
      </c>
      <c r="H418" s="403" t="s">
        <v>649</v>
      </c>
      <c r="I418" s="403" t="s">
        <v>649</v>
      </c>
      <c r="J418" s="967">
        <f>K418+N418</f>
        <v>495000</v>
      </c>
      <c r="K418" s="967">
        <f>L418+M418</f>
        <v>0</v>
      </c>
      <c r="L418" s="965">
        <v>0</v>
      </c>
      <c r="M418" s="965">
        <v>0</v>
      </c>
      <c r="N418" s="967">
        <f>O418+R418+U418</f>
        <v>495000</v>
      </c>
      <c r="O418" s="967">
        <f>P418+Q418</f>
        <v>495000</v>
      </c>
      <c r="P418" s="965">
        <v>495000</v>
      </c>
      <c r="Q418" s="965">
        <v>0</v>
      </c>
      <c r="R418" s="967">
        <f>S418+T418</f>
        <v>0</v>
      </c>
      <c r="S418" s="965">
        <v>0</v>
      </c>
      <c r="T418" s="965">
        <v>0</v>
      </c>
      <c r="U418" s="967">
        <f>V418+W418</f>
        <v>0</v>
      </c>
      <c r="V418" s="965">
        <v>0</v>
      </c>
      <c r="W418" s="965">
        <v>0</v>
      </c>
    </row>
    <row r="419" spans="1:23" ht="16.5" customHeight="1">
      <c r="A419" s="968"/>
      <c r="B419" s="969"/>
      <c r="C419" s="970"/>
      <c r="D419" s="971"/>
      <c r="E419" s="968"/>
      <c r="F419" s="972"/>
      <c r="G419" s="972"/>
      <c r="H419" s="403" t="s">
        <v>649</v>
      </c>
      <c r="I419" s="403" t="s">
        <v>649</v>
      </c>
      <c r="J419" s="967"/>
      <c r="K419" s="967"/>
      <c r="L419" s="965"/>
      <c r="M419" s="965"/>
      <c r="N419" s="967"/>
      <c r="O419" s="967"/>
      <c r="P419" s="965"/>
      <c r="Q419" s="965"/>
      <c r="R419" s="967"/>
      <c r="S419" s="965"/>
      <c r="T419" s="965"/>
      <c r="U419" s="967"/>
      <c r="V419" s="965"/>
      <c r="W419" s="965"/>
    </row>
    <row r="420" spans="1:23" ht="16.5" customHeight="1">
      <c r="A420" s="968"/>
      <c r="B420" s="969"/>
      <c r="C420" s="970"/>
      <c r="D420" s="971"/>
      <c r="E420" s="968"/>
      <c r="F420" s="972"/>
      <c r="G420" s="972"/>
      <c r="H420" s="403" t="s">
        <v>649</v>
      </c>
      <c r="I420" s="403" t="s">
        <v>649</v>
      </c>
      <c r="J420" s="967"/>
      <c r="K420" s="967"/>
      <c r="L420" s="965"/>
      <c r="M420" s="965"/>
      <c r="N420" s="967"/>
      <c r="O420" s="967"/>
      <c r="P420" s="965"/>
      <c r="Q420" s="965"/>
      <c r="R420" s="967"/>
      <c r="S420" s="965"/>
      <c r="T420" s="965"/>
      <c r="U420" s="967"/>
      <c r="V420" s="965"/>
      <c r="W420" s="965"/>
    </row>
    <row r="421" spans="1:23" ht="16.5" customHeight="1">
      <c r="A421" s="968"/>
      <c r="B421" s="969"/>
      <c r="C421" s="970"/>
      <c r="D421" s="971"/>
      <c r="E421" s="968"/>
      <c r="F421" s="972"/>
      <c r="G421" s="972"/>
      <c r="H421" s="403" t="s">
        <v>649</v>
      </c>
      <c r="I421" s="403" t="s">
        <v>649</v>
      </c>
      <c r="J421" s="967"/>
      <c r="K421" s="967"/>
      <c r="L421" s="965"/>
      <c r="M421" s="965"/>
      <c r="N421" s="967"/>
      <c r="O421" s="967"/>
      <c r="P421" s="965"/>
      <c r="Q421" s="965"/>
      <c r="R421" s="967"/>
      <c r="S421" s="965"/>
      <c r="T421" s="965"/>
      <c r="U421" s="967"/>
      <c r="V421" s="965"/>
      <c r="W421" s="965"/>
    </row>
    <row r="422" spans="1:23" ht="16.5" customHeight="1">
      <c r="A422" s="968"/>
      <c r="B422" s="969"/>
      <c r="C422" s="970"/>
      <c r="D422" s="971"/>
      <c r="E422" s="968"/>
      <c r="F422" s="972"/>
      <c r="G422" s="972"/>
      <c r="H422" s="403" t="s">
        <v>649</v>
      </c>
      <c r="I422" s="403" t="s">
        <v>649</v>
      </c>
      <c r="J422" s="967"/>
      <c r="K422" s="967"/>
      <c r="L422" s="965"/>
      <c r="M422" s="965"/>
      <c r="N422" s="967"/>
      <c r="O422" s="967"/>
      <c r="P422" s="965"/>
      <c r="Q422" s="965"/>
      <c r="R422" s="967"/>
      <c r="S422" s="965"/>
      <c r="T422" s="965"/>
      <c r="U422" s="967"/>
      <c r="V422" s="965"/>
      <c r="W422" s="965"/>
    </row>
    <row r="423" spans="1:23" ht="15" customHeight="1">
      <c r="A423" s="968">
        <v>15</v>
      </c>
      <c r="B423" s="969" t="s">
        <v>615</v>
      </c>
      <c r="C423" s="970" t="s">
        <v>611</v>
      </c>
      <c r="D423" s="971" t="s">
        <v>684</v>
      </c>
      <c r="E423" s="968" t="s">
        <v>502</v>
      </c>
      <c r="F423" s="972" t="s">
        <v>681</v>
      </c>
      <c r="G423" s="972" t="s">
        <v>648</v>
      </c>
      <c r="H423" s="403" t="s">
        <v>649</v>
      </c>
      <c r="I423" s="403" t="s">
        <v>649</v>
      </c>
      <c r="J423" s="967">
        <f>K423+N423</f>
        <v>3845000</v>
      </c>
      <c r="K423" s="967">
        <f>L423+M423</f>
        <v>0</v>
      </c>
      <c r="L423" s="965">
        <v>0</v>
      </c>
      <c r="M423" s="965">
        <v>0</v>
      </c>
      <c r="N423" s="967">
        <f>O423+R423+U423</f>
        <v>3845000</v>
      </c>
      <c r="O423" s="967">
        <f>P423+Q423</f>
        <v>3845000</v>
      </c>
      <c r="P423" s="965">
        <v>3780000</v>
      </c>
      <c r="Q423" s="965">
        <v>65000</v>
      </c>
      <c r="R423" s="967">
        <f>S423+T423</f>
        <v>0</v>
      </c>
      <c r="S423" s="965">
        <v>0</v>
      </c>
      <c r="T423" s="965">
        <v>0</v>
      </c>
      <c r="U423" s="967">
        <f>V423+W423</f>
        <v>0</v>
      </c>
      <c r="V423" s="965">
        <v>0</v>
      </c>
      <c r="W423" s="965">
        <v>0</v>
      </c>
    </row>
    <row r="424" spans="1:23" ht="15" customHeight="1">
      <c r="A424" s="968"/>
      <c r="B424" s="969"/>
      <c r="C424" s="970"/>
      <c r="D424" s="971"/>
      <c r="E424" s="968"/>
      <c r="F424" s="972"/>
      <c r="G424" s="972"/>
      <c r="H424" s="403" t="s">
        <v>649</v>
      </c>
      <c r="I424" s="403" t="s">
        <v>649</v>
      </c>
      <c r="J424" s="967"/>
      <c r="K424" s="967"/>
      <c r="L424" s="965"/>
      <c r="M424" s="965"/>
      <c r="N424" s="967"/>
      <c r="O424" s="967"/>
      <c r="P424" s="965"/>
      <c r="Q424" s="965"/>
      <c r="R424" s="967"/>
      <c r="S424" s="965"/>
      <c r="T424" s="965"/>
      <c r="U424" s="967"/>
      <c r="V424" s="965"/>
      <c r="W424" s="965"/>
    </row>
    <row r="425" spans="1:23" ht="15" customHeight="1">
      <c r="A425" s="968"/>
      <c r="B425" s="969"/>
      <c r="C425" s="970"/>
      <c r="D425" s="971"/>
      <c r="E425" s="968"/>
      <c r="F425" s="972"/>
      <c r="G425" s="972"/>
      <c r="H425" s="403" t="s">
        <v>649</v>
      </c>
      <c r="I425" s="403" t="s">
        <v>649</v>
      </c>
      <c r="J425" s="967"/>
      <c r="K425" s="967"/>
      <c r="L425" s="965"/>
      <c r="M425" s="965"/>
      <c r="N425" s="967"/>
      <c r="O425" s="967"/>
      <c r="P425" s="965"/>
      <c r="Q425" s="965"/>
      <c r="R425" s="967"/>
      <c r="S425" s="965"/>
      <c r="T425" s="965"/>
      <c r="U425" s="967"/>
      <c r="V425" s="965"/>
      <c r="W425" s="965"/>
    </row>
    <row r="426" spans="1:23" ht="15" customHeight="1">
      <c r="A426" s="968"/>
      <c r="B426" s="969"/>
      <c r="C426" s="970"/>
      <c r="D426" s="971"/>
      <c r="E426" s="968"/>
      <c r="F426" s="972"/>
      <c r="G426" s="972"/>
      <c r="H426" s="403" t="s">
        <v>649</v>
      </c>
      <c r="I426" s="403" t="s">
        <v>649</v>
      </c>
      <c r="J426" s="967"/>
      <c r="K426" s="967"/>
      <c r="L426" s="965"/>
      <c r="M426" s="965"/>
      <c r="N426" s="967"/>
      <c r="O426" s="967"/>
      <c r="P426" s="965"/>
      <c r="Q426" s="965"/>
      <c r="R426" s="967"/>
      <c r="S426" s="965"/>
      <c r="T426" s="965"/>
      <c r="U426" s="967"/>
      <c r="V426" s="965"/>
      <c r="W426" s="965"/>
    </row>
    <row r="427" spans="1:23" ht="15" customHeight="1">
      <c r="A427" s="968"/>
      <c r="B427" s="969"/>
      <c r="C427" s="970"/>
      <c r="D427" s="971"/>
      <c r="E427" s="968"/>
      <c r="F427" s="972"/>
      <c r="G427" s="972"/>
      <c r="H427" s="403" t="s">
        <v>649</v>
      </c>
      <c r="I427" s="403" t="s">
        <v>649</v>
      </c>
      <c r="J427" s="967"/>
      <c r="K427" s="967"/>
      <c r="L427" s="965"/>
      <c r="M427" s="965"/>
      <c r="N427" s="967"/>
      <c r="O427" s="967"/>
      <c r="P427" s="965"/>
      <c r="Q427" s="965"/>
      <c r="R427" s="967"/>
      <c r="S427" s="965"/>
      <c r="T427" s="965"/>
      <c r="U427" s="967"/>
      <c r="V427" s="965"/>
      <c r="W427" s="965"/>
    </row>
    <row r="428" spans="1:23" ht="15.75" customHeight="1">
      <c r="A428" s="968">
        <v>16</v>
      </c>
      <c r="B428" s="969" t="s">
        <v>619</v>
      </c>
      <c r="C428" s="970" t="s">
        <v>620</v>
      </c>
      <c r="D428" s="971" t="s">
        <v>685</v>
      </c>
      <c r="E428" s="968" t="s">
        <v>502</v>
      </c>
      <c r="F428" s="972" t="s">
        <v>681</v>
      </c>
      <c r="G428" s="972" t="s">
        <v>648</v>
      </c>
      <c r="H428" s="403" t="s">
        <v>649</v>
      </c>
      <c r="I428" s="403" t="s">
        <v>649</v>
      </c>
      <c r="J428" s="967">
        <f>K428+N428</f>
        <v>630000</v>
      </c>
      <c r="K428" s="967">
        <f>L428+M428</f>
        <v>0</v>
      </c>
      <c r="L428" s="965">
        <v>0</v>
      </c>
      <c r="M428" s="965">
        <v>0</v>
      </c>
      <c r="N428" s="967">
        <f>O428+R428+U428</f>
        <v>630000</v>
      </c>
      <c r="O428" s="967">
        <f>P428+Q428</f>
        <v>630000</v>
      </c>
      <c r="P428" s="965">
        <v>630000</v>
      </c>
      <c r="Q428" s="965">
        <v>0</v>
      </c>
      <c r="R428" s="967">
        <f>S428+T428</f>
        <v>0</v>
      </c>
      <c r="S428" s="965">
        <v>0</v>
      </c>
      <c r="T428" s="965">
        <v>0</v>
      </c>
      <c r="U428" s="967">
        <f>V428+W428</f>
        <v>0</v>
      </c>
      <c r="V428" s="965">
        <v>0</v>
      </c>
      <c r="W428" s="965">
        <v>0</v>
      </c>
    </row>
    <row r="429" spans="1:23" ht="15.75" customHeight="1">
      <c r="A429" s="968"/>
      <c r="B429" s="969"/>
      <c r="C429" s="970"/>
      <c r="D429" s="971"/>
      <c r="E429" s="968"/>
      <c r="F429" s="972"/>
      <c r="G429" s="972"/>
      <c r="H429" s="403" t="s">
        <v>649</v>
      </c>
      <c r="I429" s="403" t="s">
        <v>649</v>
      </c>
      <c r="J429" s="967"/>
      <c r="K429" s="967"/>
      <c r="L429" s="965"/>
      <c r="M429" s="965"/>
      <c r="N429" s="967"/>
      <c r="O429" s="967"/>
      <c r="P429" s="965"/>
      <c r="Q429" s="965"/>
      <c r="R429" s="967"/>
      <c r="S429" s="965"/>
      <c r="T429" s="965"/>
      <c r="U429" s="967"/>
      <c r="V429" s="965"/>
      <c r="W429" s="965"/>
    </row>
    <row r="430" spans="1:23" ht="15.75" customHeight="1">
      <c r="A430" s="968"/>
      <c r="B430" s="969"/>
      <c r="C430" s="970"/>
      <c r="D430" s="971"/>
      <c r="E430" s="968"/>
      <c r="F430" s="972"/>
      <c r="G430" s="972"/>
      <c r="H430" s="403" t="s">
        <v>649</v>
      </c>
      <c r="I430" s="403" t="s">
        <v>649</v>
      </c>
      <c r="J430" s="967"/>
      <c r="K430" s="967"/>
      <c r="L430" s="965"/>
      <c r="M430" s="965"/>
      <c r="N430" s="967"/>
      <c r="O430" s="967"/>
      <c r="P430" s="965"/>
      <c r="Q430" s="965"/>
      <c r="R430" s="967"/>
      <c r="S430" s="965"/>
      <c r="T430" s="965"/>
      <c r="U430" s="967"/>
      <c r="V430" s="965"/>
      <c r="W430" s="965"/>
    </row>
    <row r="431" spans="1:23" ht="15.75" customHeight="1">
      <c r="A431" s="968"/>
      <c r="B431" s="969"/>
      <c r="C431" s="970"/>
      <c r="D431" s="971"/>
      <c r="E431" s="968"/>
      <c r="F431" s="972"/>
      <c r="G431" s="972"/>
      <c r="H431" s="403" t="s">
        <v>649</v>
      </c>
      <c r="I431" s="403" t="s">
        <v>649</v>
      </c>
      <c r="J431" s="967"/>
      <c r="K431" s="967"/>
      <c r="L431" s="965"/>
      <c r="M431" s="965"/>
      <c r="N431" s="967"/>
      <c r="O431" s="967"/>
      <c r="P431" s="965"/>
      <c r="Q431" s="965"/>
      <c r="R431" s="967"/>
      <c r="S431" s="965"/>
      <c r="T431" s="965"/>
      <c r="U431" s="967"/>
      <c r="V431" s="965"/>
      <c r="W431" s="965"/>
    </row>
    <row r="432" spans="1:23" ht="15.75" customHeight="1">
      <c r="A432" s="968"/>
      <c r="B432" s="969"/>
      <c r="C432" s="970"/>
      <c r="D432" s="971"/>
      <c r="E432" s="968"/>
      <c r="F432" s="972"/>
      <c r="G432" s="972"/>
      <c r="H432" s="403" t="s">
        <v>649</v>
      </c>
      <c r="I432" s="403" t="s">
        <v>649</v>
      </c>
      <c r="J432" s="967"/>
      <c r="K432" s="967"/>
      <c r="L432" s="965"/>
      <c r="M432" s="965"/>
      <c r="N432" s="967"/>
      <c r="O432" s="967"/>
      <c r="P432" s="965"/>
      <c r="Q432" s="965"/>
      <c r="R432" s="967"/>
      <c r="S432" s="965"/>
      <c r="T432" s="965"/>
      <c r="U432" s="967"/>
      <c r="V432" s="965"/>
      <c r="W432" s="965"/>
    </row>
    <row r="433" spans="1:23" ht="15.75" customHeight="1">
      <c r="A433" s="968">
        <v>17</v>
      </c>
      <c r="B433" s="969" t="s">
        <v>628</v>
      </c>
      <c r="C433" s="970" t="s">
        <v>629</v>
      </c>
      <c r="D433" s="971" t="s">
        <v>686</v>
      </c>
      <c r="E433" s="968" t="s">
        <v>502</v>
      </c>
      <c r="F433" s="972" t="s">
        <v>687</v>
      </c>
      <c r="G433" s="972" t="s">
        <v>648</v>
      </c>
      <c r="H433" s="403" t="s">
        <v>649</v>
      </c>
      <c r="I433" s="403" t="s">
        <v>649</v>
      </c>
      <c r="J433" s="967">
        <f>K433+N433</f>
        <v>690000</v>
      </c>
      <c r="K433" s="967">
        <f>L433+M433</f>
        <v>0</v>
      </c>
      <c r="L433" s="965">
        <v>0</v>
      </c>
      <c r="M433" s="965">
        <v>0</v>
      </c>
      <c r="N433" s="967">
        <f>O433+R433+U433</f>
        <v>690000</v>
      </c>
      <c r="O433" s="967">
        <f>P433+Q433</f>
        <v>690000</v>
      </c>
      <c r="P433" s="965">
        <v>690000</v>
      </c>
      <c r="Q433" s="965">
        <v>0</v>
      </c>
      <c r="R433" s="967">
        <f>S433+T433</f>
        <v>0</v>
      </c>
      <c r="S433" s="965">
        <v>0</v>
      </c>
      <c r="T433" s="965">
        <v>0</v>
      </c>
      <c r="U433" s="967">
        <f>V433+W433</f>
        <v>0</v>
      </c>
      <c r="V433" s="965">
        <v>0</v>
      </c>
      <c r="W433" s="965">
        <v>0</v>
      </c>
    </row>
    <row r="434" spans="1:23" ht="15.75" customHeight="1">
      <c r="A434" s="968"/>
      <c r="B434" s="969"/>
      <c r="C434" s="970"/>
      <c r="D434" s="971"/>
      <c r="E434" s="968"/>
      <c r="F434" s="972"/>
      <c r="G434" s="972"/>
      <c r="H434" s="403" t="s">
        <v>649</v>
      </c>
      <c r="I434" s="403" t="s">
        <v>649</v>
      </c>
      <c r="J434" s="967"/>
      <c r="K434" s="967"/>
      <c r="L434" s="965"/>
      <c r="M434" s="965"/>
      <c r="N434" s="967"/>
      <c r="O434" s="967"/>
      <c r="P434" s="965"/>
      <c r="Q434" s="965"/>
      <c r="R434" s="967"/>
      <c r="S434" s="965"/>
      <c r="T434" s="965"/>
      <c r="U434" s="967"/>
      <c r="V434" s="965"/>
      <c r="W434" s="965"/>
    </row>
    <row r="435" spans="1:23" ht="15.75" customHeight="1">
      <c r="A435" s="968"/>
      <c r="B435" s="969"/>
      <c r="C435" s="970"/>
      <c r="D435" s="971"/>
      <c r="E435" s="968"/>
      <c r="F435" s="972"/>
      <c r="G435" s="972"/>
      <c r="H435" s="403" t="s">
        <v>649</v>
      </c>
      <c r="I435" s="403" t="s">
        <v>649</v>
      </c>
      <c r="J435" s="967"/>
      <c r="K435" s="967"/>
      <c r="L435" s="965"/>
      <c r="M435" s="965"/>
      <c r="N435" s="967"/>
      <c r="O435" s="967"/>
      <c r="P435" s="965"/>
      <c r="Q435" s="965"/>
      <c r="R435" s="967"/>
      <c r="S435" s="965"/>
      <c r="T435" s="965"/>
      <c r="U435" s="967"/>
      <c r="V435" s="965"/>
      <c r="W435" s="965"/>
    </row>
    <row r="436" spans="1:23" ht="15.75" customHeight="1">
      <c r="A436" s="968"/>
      <c r="B436" s="969"/>
      <c r="C436" s="970"/>
      <c r="D436" s="971"/>
      <c r="E436" s="968"/>
      <c r="F436" s="972"/>
      <c r="G436" s="972"/>
      <c r="H436" s="403" t="s">
        <v>649</v>
      </c>
      <c r="I436" s="403" t="s">
        <v>649</v>
      </c>
      <c r="J436" s="967"/>
      <c r="K436" s="967"/>
      <c r="L436" s="965"/>
      <c r="M436" s="965"/>
      <c r="N436" s="967"/>
      <c r="O436" s="967"/>
      <c r="P436" s="965"/>
      <c r="Q436" s="965"/>
      <c r="R436" s="967"/>
      <c r="S436" s="965"/>
      <c r="T436" s="965"/>
      <c r="U436" s="967"/>
      <c r="V436" s="965"/>
      <c r="W436" s="965"/>
    </row>
    <row r="437" spans="1:23" ht="15.75" customHeight="1">
      <c r="A437" s="968"/>
      <c r="B437" s="969"/>
      <c r="C437" s="970"/>
      <c r="D437" s="971"/>
      <c r="E437" s="968"/>
      <c r="F437" s="972"/>
      <c r="G437" s="972"/>
      <c r="H437" s="403" t="s">
        <v>649</v>
      </c>
      <c r="I437" s="403" t="s">
        <v>649</v>
      </c>
      <c r="J437" s="967"/>
      <c r="K437" s="967"/>
      <c r="L437" s="965"/>
      <c r="M437" s="965"/>
      <c r="N437" s="967"/>
      <c r="O437" s="967"/>
      <c r="P437" s="965"/>
      <c r="Q437" s="965"/>
      <c r="R437" s="967"/>
      <c r="S437" s="965"/>
      <c r="T437" s="965"/>
      <c r="U437" s="967"/>
      <c r="V437" s="965"/>
      <c r="W437" s="965"/>
    </row>
    <row r="438" spans="1:23" ht="15" customHeight="1">
      <c r="A438" s="968">
        <v>18</v>
      </c>
      <c r="B438" s="969" t="s">
        <v>688</v>
      </c>
      <c r="C438" s="970" t="s">
        <v>620</v>
      </c>
      <c r="D438" s="971" t="s">
        <v>689</v>
      </c>
      <c r="E438" s="968" t="s">
        <v>502</v>
      </c>
      <c r="F438" s="972" t="s">
        <v>687</v>
      </c>
      <c r="G438" s="972" t="s">
        <v>648</v>
      </c>
      <c r="H438" s="403" t="s">
        <v>649</v>
      </c>
      <c r="I438" s="403" t="s">
        <v>649</v>
      </c>
      <c r="J438" s="967">
        <f>K438+N438</f>
        <v>670000</v>
      </c>
      <c r="K438" s="967">
        <f>L438+M438</f>
        <v>0</v>
      </c>
      <c r="L438" s="965">
        <v>0</v>
      </c>
      <c r="M438" s="965">
        <v>0</v>
      </c>
      <c r="N438" s="967">
        <f>O438+R438+U438</f>
        <v>670000</v>
      </c>
      <c r="O438" s="967">
        <f>P438+Q438</f>
        <v>670000</v>
      </c>
      <c r="P438" s="965">
        <v>670000</v>
      </c>
      <c r="Q438" s="965">
        <v>0</v>
      </c>
      <c r="R438" s="967">
        <f>S438+T438</f>
        <v>0</v>
      </c>
      <c r="S438" s="965">
        <v>0</v>
      </c>
      <c r="T438" s="965">
        <v>0</v>
      </c>
      <c r="U438" s="967">
        <f>V438+W438</f>
        <v>0</v>
      </c>
      <c r="V438" s="965">
        <v>0</v>
      </c>
      <c r="W438" s="965">
        <v>0</v>
      </c>
    </row>
    <row r="439" spans="1:23" ht="15" customHeight="1">
      <c r="A439" s="968"/>
      <c r="B439" s="969"/>
      <c r="C439" s="970"/>
      <c r="D439" s="971"/>
      <c r="E439" s="968"/>
      <c r="F439" s="972"/>
      <c r="G439" s="972"/>
      <c r="H439" s="403" t="s">
        <v>649</v>
      </c>
      <c r="I439" s="403" t="s">
        <v>649</v>
      </c>
      <c r="J439" s="967"/>
      <c r="K439" s="967"/>
      <c r="L439" s="965"/>
      <c r="M439" s="965"/>
      <c r="N439" s="967"/>
      <c r="O439" s="967"/>
      <c r="P439" s="965"/>
      <c r="Q439" s="965"/>
      <c r="R439" s="967"/>
      <c r="S439" s="965"/>
      <c r="T439" s="965"/>
      <c r="U439" s="967"/>
      <c r="V439" s="965"/>
      <c r="W439" s="965"/>
    </row>
    <row r="440" spans="1:23" ht="15" customHeight="1">
      <c r="A440" s="968"/>
      <c r="B440" s="969"/>
      <c r="C440" s="970"/>
      <c r="D440" s="971"/>
      <c r="E440" s="968"/>
      <c r="F440" s="972"/>
      <c r="G440" s="972"/>
      <c r="H440" s="403" t="s">
        <v>649</v>
      </c>
      <c r="I440" s="403" t="s">
        <v>649</v>
      </c>
      <c r="J440" s="967"/>
      <c r="K440" s="967"/>
      <c r="L440" s="965"/>
      <c r="M440" s="965"/>
      <c r="N440" s="967"/>
      <c r="O440" s="967"/>
      <c r="P440" s="965"/>
      <c r="Q440" s="965"/>
      <c r="R440" s="967"/>
      <c r="S440" s="965"/>
      <c r="T440" s="965"/>
      <c r="U440" s="967"/>
      <c r="V440" s="965"/>
      <c r="W440" s="965"/>
    </row>
    <row r="441" spans="1:23" ht="15" customHeight="1">
      <c r="A441" s="968"/>
      <c r="B441" s="969"/>
      <c r="C441" s="970"/>
      <c r="D441" s="971"/>
      <c r="E441" s="968"/>
      <c r="F441" s="972"/>
      <c r="G441" s="972"/>
      <c r="H441" s="403" t="s">
        <v>649</v>
      </c>
      <c r="I441" s="403" t="s">
        <v>649</v>
      </c>
      <c r="J441" s="967"/>
      <c r="K441" s="967"/>
      <c r="L441" s="965"/>
      <c r="M441" s="965"/>
      <c r="N441" s="967"/>
      <c r="O441" s="967"/>
      <c r="P441" s="965"/>
      <c r="Q441" s="965"/>
      <c r="R441" s="967"/>
      <c r="S441" s="965"/>
      <c r="T441" s="965"/>
      <c r="U441" s="967"/>
      <c r="V441" s="965"/>
      <c r="W441" s="965"/>
    </row>
    <row r="442" spans="1:23" ht="15" customHeight="1">
      <c r="A442" s="968"/>
      <c r="B442" s="969"/>
      <c r="C442" s="970"/>
      <c r="D442" s="971"/>
      <c r="E442" s="968"/>
      <c r="F442" s="972"/>
      <c r="G442" s="972"/>
      <c r="H442" s="403" t="s">
        <v>649</v>
      </c>
      <c r="I442" s="403" t="s">
        <v>649</v>
      </c>
      <c r="J442" s="967"/>
      <c r="K442" s="967"/>
      <c r="L442" s="965"/>
      <c r="M442" s="965"/>
      <c r="N442" s="967"/>
      <c r="O442" s="967"/>
      <c r="P442" s="965"/>
      <c r="Q442" s="965"/>
      <c r="R442" s="967"/>
      <c r="S442" s="965"/>
      <c r="T442" s="965"/>
      <c r="U442" s="967"/>
      <c r="V442" s="965"/>
      <c r="W442" s="965"/>
    </row>
    <row r="443" spans="1:23" s="413" customFormat="1" ht="14.25" customHeight="1">
      <c r="A443" s="966" t="s">
        <v>690</v>
      </c>
      <c r="B443" s="966"/>
      <c r="C443" s="966"/>
      <c r="D443" s="966"/>
      <c r="E443" s="966"/>
      <c r="F443" s="966"/>
      <c r="G443" s="966"/>
      <c r="H443" s="403" t="s">
        <v>649</v>
      </c>
      <c r="I443" s="403" t="s">
        <v>649</v>
      </c>
      <c r="J443" s="964">
        <f aca="true" t="shared" si="4" ref="J443:W443">SUM(J353:J442)</f>
        <v>30799114</v>
      </c>
      <c r="K443" s="964">
        <f t="shared" si="4"/>
        <v>0</v>
      </c>
      <c r="L443" s="964">
        <f t="shared" si="4"/>
        <v>0</v>
      </c>
      <c r="M443" s="964">
        <f t="shared" si="4"/>
        <v>0</v>
      </c>
      <c r="N443" s="964">
        <f t="shared" si="4"/>
        <v>30799114</v>
      </c>
      <c r="O443" s="964">
        <f t="shared" si="4"/>
        <v>30799114</v>
      </c>
      <c r="P443" s="964">
        <f t="shared" si="4"/>
        <v>21732114</v>
      </c>
      <c r="Q443" s="964">
        <f t="shared" si="4"/>
        <v>9067000</v>
      </c>
      <c r="R443" s="964">
        <f t="shared" si="4"/>
        <v>0</v>
      </c>
      <c r="S443" s="964">
        <f t="shared" si="4"/>
        <v>0</v>
      </c>
      <c r="T443" s="964">
        <f t="shared" si="4"/>
        <v>0</v>
      </c>
      <c r="U443" s="964">
        <f t="shared" si="4"/>
        <v>0</v>
      </c>
      <c r="V443" s="964">
        <f t="shared" si="4"/>
        <v>0</v>
      </c>
      <c r="W443" s="964">
        <f t="shared" si="4"/>
        <v>0</v>
      </c>
    </row>
    <row r="444" spans="1:23" s="414" customFormat="1" ht="14.25" customHeight="1">
      <c r="A444" s="966"/>
      <c r="B444" s="966"/>
      <c r="C444" s="966"/>
      <c r="D444" s="966"/>
      <c r="E444" s="966"/>
      <c r="F444" s="966"/>
      <c r="G444" s="966"/>
      <c r="H444" s="403" t="s">
        <v>649</v>
      </c>
      <c r="I444" s="403" t="s">
        <v>649</v>
      </c>
      <c r="J444" s="964"/>
      <c r="K444" s="964"/>
      <c r="L444" s="964"/>
      <c r="M444" s="964"/>
      <c r="N444" s="964"/>
      <c r="O444" s="964"/>
      <c r="P444" s="964"/>
      <c r="Q444" s="964"/>
      <c r="R444" s="964"/>
      <c r="S444" s="964"/>
      <c r="T444" s="964"/>
      <c r="U444" s="964"/>
      <c r="V444" s="964"/>
      <c r="W444" s="964"/>
    </row>
    <row r="445" spans="1:23" s="414" customFormat="1" ht="14.25" customHeight="1">
      <c r="A445" s="966"/>
      <c r="B445" s="966"/>
      <c r="C445" s="966"/>
      <c r="D445" s="966"/>
      <c r="E445" s="966"/>
      <c r="F445" s="966"/>
      <c r="G445" s="966"/>
      <c r="H445" s="403" t="s">
        <v>649</v>
      </c>
      <c r="I445" s="403" t="s">
        <v>649</v>
      </c>
      <c r="J445" s="964"/>
      <c r="K445" s="964"/>
      <c r="L445" s="964"/>
      <c r="M445" s="964"/>
      <c r="N445" s="964"/>
      <c r="O445" s="964"/>
      <c r="P445" s="964"/>
      <c r="Q445" s="964"/>
      <c r="R445" s="964"/>
      <c r="S445" s="964"/>
      <c r="T445" s="964"/>
      <c r="U445" s="964"/>
      <c r="V445" s="964"/>
      <c r="W445" s="964"/>
    </row>
    <row r="446" spans="1:23" s="414" customFormat="1" ht="14.25" customHeight="1">
      <c r="A446" s="966"/>
      <c r="B446" s="966"/>
      <c r="C446" s="966"/>
      <c r="D446" s="966"/>
      <c r="E446" s="966"/>
      <c r="F446" s="966"/>
      <c r="G446" s="966"/>
      <c r="H446" s="403" t="s">
        <v>649</v>
      </c>
      <c r="I446" s="403" t="s">
        <v>649</v>
      </c>
      <c r="J446" s="964"/>
      <c r="K446" s="964"/>
      <c r="L446" s="964"/>
      <c r="M446" s="964"/>
      <c r="N446" s="964"/>
      <c r="O446" s="964"/>
      <c r="P446" s="964"/>
      <c r="Q446" s="964"/>
      <c r="R446" s="964"/>
      <c r="S446" s="964"/>
      <c r="T446" s="964"/>
      <c r="U446" s="964"/>
      <c r="V446" s="964"/>
      <c r="W446" s="964"/>
    </row>
    <row r="447" spans="1:23" s="414" customFormat="1" ht="14.25" customHeight="1">
      <c r="A447" s="966"/>
      <c r="B447" s="966"/>
      <c r="C447" s="966"/>
      <c r="D447" s="966"/>
      <c r="E447" s="966"/>
      <c r="F447" s="966"/>
      <c r="G447" s="966"/>
      <c r="H447" s="403" t="s">
        <v>649</v>
      </c>
      <c r="I447" s="403" t="s">
        <v>649</v>
      </c>
      <c r="J447" s="964"/>
      <c r="K447" s="964"/>
      <c r="L447" s="964"/>
      <c r="M447" s="964"/>
      <c r="N447" s="964"/>
      <c r="O447" s="964"/>
      <c r="P447" s="964"/>
      <c r="Q447" s="964"/>
      <c r="R447" s="964"/>
      <c r="S447" s="964"/>
      <c r="T447" s="964"/>
      <c r="U447" s="964"/>
      <c r="V447" s="964"/>
      <c r="W447" s="964"/>
    </row>
    <row r="448" spans="1:23" s="416" customFormat="1" ht="19.5" customHeight="1">
      <c r="A448" s="963" t="s">
        <v>480</v>
      </c>
      <c r="B448" s="963"/>
      <c r="C448" s="963"/>
      <c r="D448" s="963"/>
      <c r="E448" s="963"/>
      <c r="F448" s="963"/>
      <c r="G448" s="963"/>
      <c r="H448" s="415">
        <f>H345+H317</f>
        <v>1330183099</v>
      </c>
      <c r="I448" s="415">
        <f>I345+I317</f>
        <v>267837567</v>
      </c>
      <c r="J448" s="962">
        <f aca="true" t="shared" si="5" ref="J448:W448">J443+J345+J317</f>
        <v>483147361</v>
      </c>
      <c r="K448" s="962">
        <f t="shared" si="5"/>
        <v>380019583</v>
      </c>
      <c r="L448" s="962">
        <f t="shared" si="5"/>
        <v>89364513</v>
      </c>
      <c r="M448" s="962">
        <f t="shared" si="5"/>
        <v>290655070</v>
      </c>
      <c r="N448" s="962">
        <f t="shared" si="5"/>
        <v>103127778</v>
      </c>
      <c r="O448" s="962">
        <f t="shared" si="5"/>
        <v>33574056</v>
      </c>
      <c r="P448" s="962">
        <f t="shared" si="5"/>
        <v>24507056</v>
      </c>
      <c r="Q448" s="962">
        <f t="shared" si="5"/>
        <v>9067000</v>
      </c>
      <c r="R448" s="962">
        <f t="shared" si="5"/>
        <v>52900523</v>
      </c>
      <c r="S448" s="962">
        <f t="shared" si="5"/>
        <v>9019180</v>
      </c>
      <c r="T448" s="962">
        <f t="shared" si="5"/>
        <v>43881343</v>
      </c>
      <c r="U448" s="962">
        <f t="shared" si="5"/>
        <v>16653199</v>
      </c>
      <c r="V448" s="962">
        <f t="shared" si="5"/>
        <v>1179397</v>
      </c>
      <c r="W448" s="962">
        <f t="shared" si="5"/>
        <v>15473802</v>
      </c>
    </row>
    <row r="449" spans="1:23" s="417" customFormat="1" ht="19.5" customHeight="1">
      <c r="A449" s="963"/>
      <c r="B449" s="963"/>
      <c r="C449" s="963"/>
      <c r="D449" s="963"/>
      <c r="E449" s="963"/>
      <c r="F449" s="963"/>
      <c r="G449" s="963"/>
      <c r="H449" s="415">
        <f aca="true" t="shared" si="6" ref="H449:I452">H346+H318</f>
        <v>1117214321</v>
      </c>
      <c r="I449" s="415">
        <f t="shared" si="6"/>
        <v>206822494</v>
      </c>
      <c r="J449" s="962"/>
      <c r="K449" s="962"/>
      <c r="L449" s="962"/>
      <c r="M449" s="962"/>
      <c r="N449" s="962"/>
      <c r="O449" s="962"/>
      <c r="P449" s="962"/>
      <c r="Q449" s="962"/>
      <c r="R449" s="962"/>
      <c r="S449" s="962"/>
      <c r="T449" s="962"/>
      <c r="U449" s="962"/>
      <c r="V449" s="962"/>
      <c r="W449" s="962"/>
    </row>
    <row r="450" spans="1:23" s="417" customFormat="1" ht="19.5" customHeight="1">
      <c r="A450" s="963"/>
      <c r="B450" s="963"/>
      <c r="C450" s="963"/>
      <c r="D450" s="963"/>
      <c r="E450" s="963"/>
      <c r="F450" s="963"/>
      <c r="G450" s="963"/>
      <c r="H450" s="415">
        <f t="shared" si="6"/>
        <v>9461685</v>
      </c>
      <c r="I450" s="415">
        <f t="shared" si="6"/>
        <v>3046730</v>
      </c>
      <c r="J450" s="962"/>
      <c r="K450" s="962"/>
      <c r="L450" s="962"/>
      <c r="M450" s="962"/>
      <c r="N450" s="962"/>
      <c r="O450" s="962"/>
      <c r="P450" s="962"/>
      <c r="Q450" s="962"/>
      <c r="R450" s="962"/>
      <c r="S450" s="962"/>
      <c r="T450" s="962"/>
      <c r="U450" s="962"/>
      <c r="V450" s="962"/>
      <c r="W450" s="962"/>
    </row>
    <row r="451" spans="1:23" s="417" customFormat="1" ht="19.5" customHeight="1">
      <c r="A451" s="963"/>
      <c r="B451" s="963"/>
      <c r="C451" s="963"/>
      <c r="D451" s="963"/>
      <c r="E451" s="963"/>
      <c r="F451" s="963"/>
      <c r="G451" s="963"/>
      <c r="H451" s="415">
        <f t="shared" si="6"/>
        <v>179833166</v>
      </c>
      <c r="I451" s="415">
        <f t="shared" si="6"/>
        <v>54358879</v>
      </c>
      <c r="J451" s="962"/>
      <c r="K451" s="962"/>
      <c r="L451" s="962"/>
      <c r="M451" s="962"/>
      <c r="N451" s="962"/>
      <c r="O451" s="962"/>
      <c r="P451" s="962"/>
      <c r="Q451" s="962"/>
      <c r="R451" s="962"/>
      <c r="S451" s="962"/>
      <c r="T451" s="962"/>
      <c r="U451" s="962"/>
      <c r="V451" s="962"/>
      <c r="W451" s="962"/>
    </row>
    <row r="452" spans="1:23" s="417" customFormat="1" ht="19.5" customHeight="1">
      <c r="A452" s="963"/>
      <c r="B452" s="963"/>
      <c r="C452" s="963"/>
      <c r="D452" s="963"/>
      <c r="E452" s="963"/>
      <c r="F452" s="963"/>
      <c r="G452" s="963"/>
      <c r="H452" s="415">
        <f t="shared" si="6"/>
        <v>23673927</v>
      </c>
      <c r="I452" s="415">
        <f t="shared" si="6"/>
        <v>3609464</v>
      </c>
      <c r="J452" s="962"/>
      <c r="K452" s="962"/>
      <c r="L452" s="962"/>
      <c r="M452" s="962"/>
      <c r="N452" s="962"/>
      <c r="O452" s="962"/>
      <c r="P452" s="962"/>
      <c r="Q452" s="962"/>
      <c r="R452" s="962"/>
      <c r="S452" s="962"/>
      <c r="T452" s="962"/>
      <c r="U452" s="962"/>
      <c r="V452" s="962"/>
      <c r="W452" s="962"/>
    </row>
  </sheetData>
  <sheetProtection password="C25B" sheet="1"/>
  <mergeCells count="1821">
    <mergeCell ref="A5:W5"/>
    <mergeCell ref="A7:A12"/>
    <mergeCell ref="B7:B12"/>
    <mergeCell ref="C7:C12"/>
    <mergeCell ref="D7:D12"/>
    <mergeCell ref="E7:E12"/>
    <mergeCell ref="K9:M10"/>
    <mergeCell ref="N9:N12"/>
    <mergeCell ref="O9:W9"/>
    <mergeCell ref="O10:Q10"/>
    <mergeCell ref="H7:H8"/>
    <mergeCell ref="I7:I8"/>
    <mergeCell ref="K11:K12"/>
    <mergeCell ref="L11:L12"/>
    <mergeCell ref="R10:T10"/>
    <mergeCell ref="U10:W10"/>
    <mergeCell ref="T11:T12"/>
    <mergeCell ref="U11:U12"/>
    <mergeCell ref="V11:V12"/>
    <mergeCell ref="W11:W12"/>
    <mergeCell ref="R11:R12"/>
    <mergeCell ref="S11:S12"/>
    <mergeCell ref="A14:W14"/>
    <mergeCell ref="A15:W15"/>
    <mergeCell ref="M11:M12"/>
    <mergeCell ref="O11:O12"/>
    <mergeCell ref="P11:P12"/>
    <mergeCell ref="Q11:Q12"/>
    <mergeCell ref="F7:F12"/>
    <mergeCell ref="G7:G12"/>
    <mergeCell ref="J7:W8"/>
    <mergeCell ref="J9:J12"/>
    <mergeCell ref="A16:W16"/>
    <mergeCell ref="A17:A21"/>
    <mergeCell ref="B17:B21"/>
    <mergeCell ref="C17:C21"/>
    <mergeCell ref="D17:D21"/>
    <mergeCell ref="E17:E21"/>
    <mergeCell ref="F17:F21"/>
    <mergeCell ref="G17:G21"/>
    <mergeCell ref="J17:J21"/>
    <mergeCell ref="K17:K21"/>
    <mergeCell ref="L17:L21"/>
    <mergeCell ref="M17:M21"/>
    <mergeCell ref="N17:N21"/>
    <mergeCell ref="O17:O21"/>
    <mergeCell ref="P17:P21"/>
    <mergeCell ref="Q17:Q21"/>
    <mergeCell ref="R17:R21"/>
    <mergeCell ref="S17:S21"/>
    <mergeCell ref="T17:T21"/>
    <mergeCell ref="U17:U21"/>
    <mergeCell ref="V17:V21"/>
    <mergeCell ref="W17:W21"/>
    <mergeCell ref="A22:A26"/>
    <mergeCell ref="B22:B26"/>
    <mergeCell ref="C22:C26"/>
    <mergeCell ref="D22:D26"/>
    <mergeCell ref="E22:E26"/>
    <mergeCell ref="F22:F26"/>
    <mergeCell ref="G22:G26"/>
    <mergeCell ref="J22:J26"/>
    <mergeCell ref="K22:K26"/>
    <mergeCell ref="L22:L26"/>
    <mergeCell ref="M22:M26"/>
    <mergeCell ref="N22:N26"/>
    <mergeCell ref="O22:O26"/>
    <mergeCell ref="P22:P26"/>
    <mergeCell ref="Q22:Q26"/>
    <mergeCell ref="R22:R26"/>
    <mergeCell ref="S22:S26"/>
    <mergeCell ref="T22:T26"/>
    <mergeCell ref="U22:U26"/>
    <mergeCell ref="V22:V26"/>
    <mergeCell ref="W22:W26"/>
    <mergeCell ref="A27:A31"/>
    <mergeCell ref="B27:B31"/>
    <mergeCell ref="C27:C31"/>
    <mergeCell ref="D27:D31"/>
    <mergeCell ref="E27:E31"/>
    <mergeCell ref="F27:F31"/>
    <mergeCell ref="G27:G31"/>
    <mergeCell ref="J27:J31"/>
    <mergeCell ref="K27:K31"/>
    <mergeCell ref="L27:L31"/>
    <mergeCell ref="M27:M31"/>
    <mergeCell ref="N27:N31"/>
    <mergeCell ref="O27:O31"/>
    <mergeCell ref="P27:P31"/>
    <mergeCell ref="Q27:Q31"/>
    <mergeCell ref="R27:R31"/>
    <mergeCell ref="S27:S31"/>
    <mergeCell ref="T27:T31"/>
    <mergeCell ref="U27:U31"/>
    <mergeCell ref="V27:V31"/>
    <mergeCell ref="W27:W31"/>
    <mergeCell ref="A32:A36"/>
    <mergeCell ref="B32:B36"/>
    <mergeCell ref="C32:C36"/>
    <mergeCell ref="D32:D36"/>
    <mergeCell ref="E32:E36"/>
    <mergeCell ref="F32:F36"/>
    <mergeCell ref="G32:G36"/>
    <mergeCell ref="J32:J36"/>
    <mergeCell ref="K32:K36"/>
    <mergeCell ref="L32:L36"/>
    <mergeCell ref="M32:M36"/>
    <mergeCell ref="N32:N36"/>
    <mergeCell ref="O32:O36"/>
    <mergeCell ref="P32:P36"/>
    <mergeCell ref="Q32:Q36"/>
    <mergeCell ref="R32:R36"/>
    <mergeCell ref="S32:S36"/>
    <mergeCell ref="T32:T36"/>
    <mergeCell ref="U32:U36"/>
    <mergeCell ref="V32:V36"/>
    <mergeCell ref="W32:W36"/>
    <mergeCell ref="A37:A41"/>
    <mergeCell ref="B37:B41"/>
    <mergeCell ref="C37:C41"/>
    <mergeCell ref="D37:D41"/>
    <mergeCell ref="E37:E41"/>
    <mergeCell ref="F37:F41"/>
    <mergeCell ref="G37:G41"/>
    <mergeCell ref="J37:J41"/>
    <mergeCell ref="K37:K41"/>
    <mergeCell ref="L37:L41"/>
    <mergeCell ref="M37:M41"/>
    <mergeCell ref="N37:N41"/>
    <mergeCell ref="O37:O41"/>
    <mergeCell ref="P37:P41"/>
    <mergeCell ref="Q37:Q41"/>
    <mergeCell ref="R37:R41"/>
    <mergeCell ref="S37:S41"/>
    <mergeCell ref="T37:T41"/>
    <mergeCell ref="U37:U41"/>
    <mergeCell ref="V37:V41"/>
    <mergeCell ref="W37:W41"/>
    <mergeCell ref="A42:A46"/>
    <mergeCell ref="B42:B46"/>
    <mergeCell ref="C42:C46"/>
    <mergeCell ref="D42:D46"/>
    <mergeCell ref="E42:E46"/>
    <mergeCell ref="F42:F46"/>
    <mergeCell ref="G42:G46"/>
    <mergeCell ref="J42:J46"/>
    <mergeCell ref="K42:K46"/>
    <mergeCell ref="L42:L46"/>
    <mergeCell ref="M42:M46"/>
    <mergeCell ref="N42:N46"/>
    <mergeCell ref="O42:O46"/>
    <mergeCell ref="P42:P46"/>
    <mergeCell ref="Q42:Q46"/>
    <mergeCell ref="R42:R46"/>
    <mergeCell ref="S42:S46"/>
    <mergeCell ref="T42:T46"/>
    <mergeCell ref="U42:U46"/>
    <mergeCell ref="V42:V46"/>
    <mergeCell ref="W42:W46"/>
    <mergeCell ref="A47:A51"/>
    <mergeCell ref="B47:B51"/>
    <mergeCell ref="C47:C51"/>
    <mergeCell ref="D47:D51"/>
    <mergeCell ref="E47:E51"/>
    <mergeCell ref="F47:F51"/>
    <mergeCell ref="G47:G51"/>
    <mergeCell ref="J47:J51"/>
    <mergeCell ref="K47:K51"/>
    <mergeCell ref="L47:L51"/>
    <mergeCell ref="M47:M51"/>
    <mergeCell ref="N47:N51"/>
    <mergeCell ref="O47:O51"/>
    <mergeCell ref="P47:P51"/>
    <mergeCell ref="Q47:Q51"/>
    <mergeCell ref="R47:R51"/>
    <mergeCell ref="S47:S51"/>
    <mergeCell ref="T47:T51"/>
    <mergeCell ref="U47:U51"/>
    <mergeCell ref="V47:V51"/>
    <mergeCell ref="W47:W51"/>
    <mergeCell ref="A52:A56"/>
    <mergeCell ref="B52:B56"/>
    <mergeCell ref="C52:C56"/>
    <mergeCell ref="D52:D56"/>
    <mergeCell ref="E52:E56"/>
    <mergeCell ref="F52:F56"/>
    <mergeCell ref="G52:G56"/>
    <mergeCell ref="J52:J56"/>
    <mergeCell ref="K52:K56"/>
    <mergeCell ref="L52:L56"/>
    <mergeCell ref="M52:M56"/>
    <mergeCell ref="N52:N56"/>
    <mergeCell ref="O52:O56"/>
    <mergeCell ref="P52:P56"/>
    <mergeCell ref="Q52:Q56"/>
    <mergeCell ref="R52:R56"/>
    <mergeCell ref="S52:S56"/>
    <mergeCell ref="T52:T56"/>
    <mergeCell ref="U52:U56"/>
    <mergeCell ref="V52:V56"/>
    <mergeCell ref="W52:W56"/>
    <mergeCell ref="A57:A61"/>
    <mergeCell ref="B57:B61"/>
    <mergeCell ref="C57:C61"/>
    <mergeCell ref="D57:D61"/>
    <mergeCell ref="E57:E61"/>
    <mergeCell ref="F57:F61"/>
    <mergeCell ref="G57:G61"/>
    <mergeCell ref="J57:J61"/>
    <mergeCell ref="K57:K61"/>
    <mergeCell ref="L57:L61"/>
    <mergeCell ref="M57:M61"/>
    <mergeCell ref="N57:N61"/>
    <mergeCell ref="O57:O61"/>
    <mergeCell ref="P57:P61"/>
    <mergeCell ref="Q57:Q61"/>
    <mergeCell ref="R57:R61"/>
    <mergeCell ref="S57:S61"/>
    <mergeCell ref="T57:T61"/>
    <mergeCell ref="U57:U61"/>
    <mergeCell ref="V57:V61"/>
    <mergeCell ref="W57:W61"/>
    <mergeCell ref="A62:A66"/>
    <mergeCell ref="B62:B66"/>
    <mergeCell ref="C62:C66"/>
    <mergeCell ref="D62:D66"/>
    <mergeCell ref="E62:E66"/>
    <mergeCell ref="F62:F66"/>
    <mergeCell ref="G62:G66"/>
    <mergeCell ref="J62:J66"/>
    <mergeCell ref="K62:K66"/>
    <mergeCell ref="L62:L66"/>
    <mergeCell ref="M62:M66"/>
    <mergeCell ref="N62:N66"/>
    <mergeCell ref="O62:O66"/>
    <mergeCell ref="P62:P66"/>
    <mergeCell ref="Q62:Q66"/>
    <mergeCell ref="R62:R66"/>
    <mergeCell ref="S62:S66"/>
    <mergeCell ref="T62:T66"/>
    <mergeCell ref="U62:U66"/>
    <mergeCell ref="V62:V66"/>
    <mergeCell ref="W62:W66"/>
    <mergeCell ref="A67:A71"/>
    <mergeCell ref="B67:B71"/>
    <mergeCell ref="C67:C71"/>
    <mergeCell ref="D67:D71"/>
    <mergeCell ref="E67:E71"/>
    <mergeCell ref="F67:F71"/>
    <mergeCell ref="G67:G71"/>
    <mergeCell ref="J67:J71"/>
    <mergeCell ref="K67:K71"/>
    <mergeCell ref="L67:L71"/>
    <mergeCell ref="M67:M71"/>
    <mergeCell ref="N67:N71"/>
    <mergeCell ref="O67:O71"/>
    <mergeCell ref="P67:P71"/>
    <mergeCell ref="Q67:Q71"/>
    <mergeCell ref="R67:R71"/>
    <mergeCell ref="S67:S71"/>
    <mergeCell ref="T67:T71"/>
    <mergeCell ref="U67:U71"/>
    <mergeCell ref="V67:V71"/>
    <mergeCell ref="W67:W71"/>
    <mergeCell ref="A72:A76"/>
    <mergeCell ref="B72:B76"/>
    <mergeCell ref="C72:C76"/>
    <mergeCell ref="D72:D76"/>
    <mergeCell ref="E72:E76"/>
    <mergeCell ref="F72:F76"/>
    <mergeCell ref="G72:G76"/>
    <mergeCell ref="J72:J76"/>
    <mergeCell ref="K72:K76"/>
    <mergeCell ref="L72:L76"/>
    <mergeCell ref="M72:M76"/>
    <mergeCell ref="N72:N76"/>
    <mergeCell ref="O72:O76"/>
    <mergeCell ref="P72:P76"/>
    <mergeCell ref="Q72:Q76"/>
    <mergeCell ref="R72:R76"/>
    <mergeCell ref="S72:S76"/>
    <mergeCell ref="T72:T76"/>
    <mergeCell ref="U72:U76"/>
    <mergeCell ref="V72:V76"/>
    <mergeCell ref="W72:W76"/>
    <mergeCell ref="A77:A81"/>
    <mergeCell ref="B77:B81"/>
    <mergeCell ref="C77:C81"/>
    <mergeCell ref="D77:D81"/>
    <mergeCell ref="E77:E81"/>
    <mergeCell ref="F77:F81"/>
    <mergeCell ref="G77:G81"/>
    <mergeCell ref="J77:J81"/>
    <mergeCell ref="K77:K81"/>
    <mergeCell ref="L77:L81"/>
    <mergeCell ref="M77:M81"/>
    <mergeCell ref="N77:N81"/>
    <mergeCell ref="O77:O81"/>
    <mergeCell ref="P77:P81"/>
    <mergeCell ref="Q77:Q81"/>
    <mergeCell ref="R77:R81"/>
    <mergeCell ref="S77:S81"/>
    <mergeCell ref="T77:T81"/>
    <mergeCell ref="U77:U81"/>
    <mergeCell ref="V77:V81"/>
    <mergeCell ref="W77:W81"/>
    <mergeCell ref="A82:A86"/>
    <mergeCell ref="B82:B86"/>
    <mergeCell ref="C82:C86"/>
    <mergeCell ref="D82:D86"/>
    <mergeCell ref="E82:E86"/>
    <mergeCell ref="F82:F86"/>
    <mergeCell ref="G82:G86"/>
    <mergeCell ref="J82:J86"/>
    <mergeCell ref="K82:K86"/>
    <mergeCell ref="L82:L86"/>
    <mergeCell ref="M82:M86"/>
    <mergeCell ref="N82:N86"/>
    <mergeCell ref="O82:O86"/>
    <mergeCell ref="P82:P86"/>
    <mergeCell ref="Q82:Q86"/>
    <mergeCell ref="R82:R86"/>
    <mergeCell ref="S82:S86"/>
    <mergeCell ref="T82:T86"/>
    <mergeCell ref="U82:U86"/>
    <mergeCell ref="V82:V86"/>
    <mergeCell ref="W82:W86"/>
    <mergeCell ref="A87:A91"/>
    <mergeCell ref="B87:B91"/>
    <mergeCell ref="C87:C91"/>
    <mergeCell ref="D87:D91"/>
    <mergeCell ref="E87:E91"/>
    <mergeCell ref="F87:F91"/>
    <mergeCell ref="G87:G91"/>
    <mergeCell ref="J87:J91"/>
    <mergeCell ref="K87:K91"/>
    <mergeCell ref="L87:L91"/>
    <mergeCell ref="M87:M91"/>
    <mergeCell ref="N87:N91"/>
    <mergeCell ref="O87:O91"/>
    <mergeCell ref="P87:P91"/>
    <mergeCell ref="Q87:Q91"/>
    <mergeCell ref="R87:R91"/>
    <mergeCell ref="S87:S91"/>
    <mergeCell ref="T87:T91"/>
    <mergeCell ref="U87:U91"/>
    <mergeCell ref="V87:V91"/>
    <mergeCell ref="W87:W91"/>
    <mergeCell ref="A92:A96"/>
    <mergeCell ref="B92:B96"/>
    <mergeCell ref="C92:C96"/>
    <mergeCell ref="D92:D96"/>
    <mergeCell ref="E92:E96"/>
    <mergeCell ref="F92:F96"/>
    <mergeCell ref="G92:G96"/>
    <mergeCell ref="J92:J96"/>
    <mergeCell ref="K92:K96"/>
    <mergeCell ref="L92:L96"/>
    <mergeCell ref="M92:M96"/>
    <mergeCell ref="N92:N96"/>
    <mergeCell ref="O92:O96"/>
    <mergeCell ref="P92:P96"/>
    <mergeCell ref="Q92:Q96"/>
    <mergeCell ref="R92:R96"/>
    <mergeCell ref="S92:S96"/>
    <mergeCell ref="T92:T96"/>
    <mergeCell ref="U92:U96"/>
    <mergeCell ref="V92:V96"/>
    <mergeCell ref="W92:W96"/>
    <mergeCell ref="A97:A101"/>
    <mergeCell ref="B97:B101"/>
    <mergeCell ref="C97:C101"/>
    <mergeCell ref="D97:D101"/>
    <mergeCell ref="E97:E101"/>
    <mergeCell ref="F97:F101"/>
    <mergeCell ref="G97:G101"/>
    <mergeCell ref="J97:J101"/>
    <mergeCell ref="K97:K101"/>
    <mergeCell ref="L97:L101"/>
    <mergeCell ref="M97:M101"/>
    <mergeCell ref="N97:N101"/>
    <mergeCell ref="O97:O101"/>
    <mergeCell ref="P97:P101"/>
    <mergeCell ref="Q97:Q101"/>
    <mergeCell ref="R97:R101"/>
    <mergeCell ref="S97:S101"/>
    <mergeCell ref="T97:T101"/>
    <mergeCell ref="U97:U101"/>
    <mergeCell ref="V97:V101"/>
    <mergeCell ref="W97:W101"/>
    <mergeCell ref="A102:A106"/>
    <mergeCell ref="B102:B106"/>
    <mergeCell ref="C102:C106"/>
    <mergeCell ref="D102:D106"/>
    <mergeCell ref="E102:E106"/>
    <mergeCell ref="F102:F106"/>
    <mergeCell ref="G102:G106"/>
    <mergeCell ref="J102:J106"/>
    <mergeCell ref="K102:K106"/>
    <mergeCell ref="L102:L106"/>
    <mergeCell ref="M102:M106"/>
    <mergeCell ref="N102:N106"/>
    <mergeCell ref="O102:O106"/>
    <mergeCell ref="P102:P106"/>
    <mergeCell ref="Q102:Q106"/>
    <mergeCell ref="R102:R106"/>
    <mergeCell ref="S102:S106"/>
    <mergeCell ref="T102:T106"/>
    <mergeCell ref="U102:U106"/>
    <mergeCell ref="V102:V106"/>
    <mergeCell ref="W102:W106"/>
    <mergeCell ref="A107:A111"/>
    <mergeCell ref="B107:B111"/>
    <mergeCell ref="C107:C111"/>
    <mergeCell ref="D107:D111"/>
    <mergeCell ref="E107:E111"/>
    <mergeCell ref="F107:F111"/>
    <mergeCell ref="G107:G111"/>
    <mergeCell ref="J107:J111"/>
    <mergeCell ref="K107:K111"/>
    <mergeCell ref="L107:L111"/>
    <mergeCell ref="M107:M111"/>
    <mergeCell ref="N107:N111"/>
    <mergeCell ref="O107:O111"/>
    <mergeCell ref="P107:P111"/>
    <mergeCell ref="Q107:Q111"/>
    <mergeCell ref="R107:R111"/>
    <mergeCell ref="S107:S111"/>
    <mergeCell ref="T107:T111"/>
    <mergeCell ref="U107:U111"/>
    <mergeCell ref="V107:V111"/>
    <mergeCell ref="W107:W111"/>
    <mergeCell ref="A112:A116"/>
    <mergeCell ref="B112:B116"/>
    <mergeCell ref="C112:C116"/>
    <mergeCell ref="D112:D116"/>
    <mergeCell ref="E112:E116"/>
    <mergeCell ref="F112:F116"/>
    <mergeCell ref="G112:G116"/>
    <mergeCell ref="J112:J116"/>
    <mergeCell ref="K112:K116"/>
    <mergeCell ref="L112:L116"/>
    <mergeCell ref="M112:M116"/>
    <mergeCell ref="N112:N116"/>
    <mergeCell ref="O112:O116"/>
    <mergeCell ref="P112:P116"/>
    <mergeCell ref="Q112:Q116"/>
    <mergeCell ref="R112:R116"/>
    <mergeCell ref="S112:S116"/>
    <mergeCell ref="T112:T116"/>
    <mergeCell ref="U112:U116"/>
    <mergeCell ref="V112:V116"/>
    <mergeCell ref="W112:W116"/>
    <mergeCell ref="A117:A121"/>
    <mergeCell ref="B117:B121"/>
    <mergeCell ref="C117:C121"/>
    <mergeCell ref="D117:D121"/>
    <mergeCell ref="E117:E121"/>
    <mergeCell ref="F117:F121"/>
    <mergeCell ref="G117:G121"/>
    <mergeCell ref="J117:J121"/>
    <mergeCell ref="K117:K121"/>
    <mergeCell ref="L117:L121"/>
    <mergeCell ref="M117:M121"/>
    <mergeCell ref="N117:N121"/>
    <mergeCell ref="O117:O121"/>
    <mergeCell ref="P117:P121"/>
    <mergeCell ref="Q117:Q121"/>
    <mergeCell ref="R117:R121"/>
    <mergeCell ref="S117:S121"/>
    <mergeCell ref="T117:T121"/>
    <mergeCell ref="U117:U121"/>
    <mergeCell ref="V117:V121"/>
    <mergeCell ref="W117:W121"/>
    <mergeCell ref="A122:A126"/>
    <mergeCell ref="B122:B126"/>
    <mergeCell ref="C122:C126"/>
    <mergeCell ref="D122:D126"/>
    <mergeCell ref="E122:E126"/>
    <mergeCell ref="F122:F126"/>
    <mergeCell ref="G122:G126"/>
    <mergeCell ref="J122:J126"/>
    <mergeCell ref="K122:K126"/>
    <mergeCell ref="L122:L126"/>
    <mergeCell ref="M122:M126"/>
    <mergeCell ref="N122:N126"/>
    <mergeCell ref="O122:O126"/>
    <mergeCell ref="P122:P126"/>
    <mergeCell ref="Q122:Q126"/>
    <mergeCell ref="R122:R126"/>
    <mergeCell ref="S122:S126"/>
    <mergeCell ref="T122:T126"/>
    <mergeCell ref="U122:U126"/>
    <mergeCell ref="V122:V126"/>
    <mergeCell ref="W122:W126"/>
    <mergeCell ref="A127:A131"/>
    <mergeCell ref="B127:B131"/>
    <mergeCell ref="C127:C131"/>
    <mergeCell ref="D127:D131"/>
    <mergeCell ref="E127:E131"/>
    <mergeCell ref="F127:F131"/>
    <mergeCell ref="G127:G131"/>
    <mergeCell ref="J127:J131"/>
    <mergeCell ref="K127:K131"/>
    <mergeCell ref="L127:L131"/>
    <mergeCell ref="M127:M131"/>
    <mergeCell ref="N127:N131"/>
    <mergeCell ref="O127:O131"/>
    <mergeCell ref="P127:P131"/>
    <mergeCell ref="Q127:Q131"/>
    <mergeCell ref="R127:R131"/>
    <mergeCell ref="S127:S131"/>
    <mergeCell ref="T127:T131"/>
    <mergeCell ref="U127:U131"/>
    <mergeCell ref="V127:V131"/>
    <mergeCell ref="W127:W131"/>
    <mergeCell ref="A132:A136"/>
    <mergeCell ref="B132:B136"/>
    <mergeCell ref="C132:C136"/>
    <mergeCell ref="D132:D136"/>
    <mergeCell ref="E132:E136"/>
    <mergeCell ref="F132:F136"/>
    <mergeCell ref="G132:G136"/>
    <mergeCell ref="J132:J136"/>
    <mergeCell ref="K132:K136"/>
    <mergeCell ref="L132:L136"/>
    <mergeCell ref="M132:M136"/>
    <mergeCell ref="N132:N136"/>
    <mergeCell ref="O132:O136"/>
    <mergeCell ref="P132:P136"/>
    <mergeCell ref="Q132:Q136"/>
    <mergeCell ref="R132:R136"/>
    <mergeCell ref="S132:S136"/>
    <mergeCell ref="T132:T136"/>
    <mergeCell ref="U132:U136"/>
    <mergeCell ref="V132:V136"/>
    <mergeCell ref="W132:W136"/>
    <mergeCell ref="A137:A141"/>
    <mergeCell ref="B137:B141"/>
    <mergeCell ref="C137:C141"/>
    <mergeCell ref="D137:D141"/>
    <mergeCell ref="E137:E141"/>
    <mergeCell ref="F137:F141"/>
    <mergeCell ref="G137:G141"/>
    <mergeCell ref="J137:J141"/>
    <mergeCell ref="K137:K141"/>
    <mergeCell ref="L137:L141"/>
    <mergeCell ref="M137:M141"/>
    <mergeCell ref="N137:N141"/>
    <mergeCell ref="O137:O141"/>
    <mergeCell ref="P137:P141"/>
    <mergeCell ref="Q137:Q141"/>
    <mergeCell ref="R137:R141"/>
    <mergeCell ref="S137:S141"/>
    <mergeCell ref="T137:T141"/>
    <mergeCell ref="U137:U141"/>
    <mergeCell ref="V137:V141"/>
    <mergeCell ref="W137:W141"/>
    <mergeCell ref="A142:A146"/>
    <mergeCell ref="B142:B146"/>
    <mergeCell ref="C142:C146"/>
    <mergeCell ref="D142:D146"/>
    <mergeCell ref="E142:E146"/>
    <mergeCell ref="F142:F146"/>
    <mergeCell ref="G142:G146"/>
    <mergeCell ref="J142:J146"/>
    <mergeCell ref="K142:K146"/>
    <mergeCell ref="L142:L146"/>
    <mergeCell ref="M142:M146"/>
    <mergeCell ref="N142:N146"/>
    <mergeCell ref="O142:O146"/>
    <mergeCell ref="P142:P146"/>
    <mergeCell ref="Q142:Q146"/>
    <mergeCell ref="R142:R146"/>
    <mergeCell ref="S142:S146"/>
    <mergeCell ref="T142:T146"/>
    <mergeCell ref="U142:U146"/>
    <mergeCell ref="V142:V146"/>
    <mergeCell ref="W142:W146"/>
    <mergeCell ref="A147:A151"/>
    <mergeCell ref="B147:B151"/>
    <mergeCell ref="C147:C151"/>
    <mergeCell ref="D147:D151"/>
    <mergeCell ref="E147:E151"/>
    <mergeCell ref="F147:F151"/>
    <mergeCell ref="G147:G151"/>
    <mergeCell ref="J147:J151"/>
    <mergeCell ref="K147:K151"/>
    <mergeCell ref="L147:L151"/>
    <mergeCell ref="M147:M151"/>
    <mergeCell ref="N147:N151"/>
    <mergeCell ref="O147:O151"/>
    <mergeCell ref="P147:P151"/>
    <mergeCell ref="Q147:Q151"/>
    <mergeCell ref="R147:R151"/>
    <mergeCell ref="S147:S151"/>
    <mergeCell ref="T147:T151"/>
    <mergeCell ref="U147:U151"/>
    <mergeCell ref="V147:V151"/>
    <mergeCell ref="W147:W151"/>
    <mergeCell ref="A152:A156"/>
    <mergeCell ref="B152:B156"/>
    <mergeCell ref="C152:C156"/>
    <mergeCell ref="D152:D156"/>
    <mergeCell ref="E152:E156"/>
    <mergeCell ref="F152:F156"/>
    <mergeCell ref="G152:G156"/>
    <mergeCell ref="J152:J156"/>
    <mergeCell ref="K152:K156"/>
    <mergeCell ref="L152:L156"/>
    <mergeCell ref="M152:M156"/>
    <mergeCell ref="N152:N156"/>
    <mergeCell ref="O152:O156"/>
    <mergeCell ref="P152:P156"/>
    <mergeCell ref="Q152:Q156"/>
    <mergeCell ref="R152:R156"/>
    <mergeCell ref="S152:S156"/>
    <mergeCell ref="T152:T156"/>
    <mergeCell ref="U152:U156"/>
    <mergeCell ref="V152:V156"/>
    <mergeCell ref="W152:W156"/>
    <mergeCell ref="A157:A161"/>
    <mergeCell ref="B157:B161"/>
    <mergeCell ref="C157:C161"/>
    <mergeCell ref="D157:D161"/>
    <mergeCell ref="E157:E161"/>
    <mergeCell ref="F157:F161"/>
    <mergeCell ref="G157:G161"/>
    <mergeCell ref="J157:J161"/>
    <mergeCell ref="K157:K161"/>
    <mergeCell ref="L157:L161"/>
    <mergeCell ref="M157:M161"/>
    <mergeCell ref="N157:N161"/>
    <mergeCell ref="O157:O161"/>
    <mergeCell ref="P157:P161"/>
    <mergeCell ref="Q157:Q161"/>
    <mergeCell ref="R157:R161"/>
    <mergeCell ref="S157:S161"/>
    <mergeCell ref="T157:T161"/>
    <mergeCell ref="U157:U161"/>
    <mergeCell ref="V157:V161"/>
    <mergeCell ref="W157:W161"/>
    <mergeCell ref="A162:A166"/>
    <mergeCell ref="B162:B166"/>
    <mergeCell ref="C162:C166"/>
    <mergeCell ref="D162:D166"/>
    <mergeCell ref="E162:E166"/>
    <mergeCell ref="F162:F166"/>
    <mergeCell ref="G162:G166"/>
    <mergeCell ref="J162:J166"/>
    <mergeCell ref="K162:K166"/>
    <mergeCell ref="L162:L166"/>
    <mergeCell ref="M162:M166"/>
    <mergeCell ref="N162:N166"/>
    <mergeCell ref="O162:O166"/>
    <mergeCell ref="P162:P166"/>
    <mergeCell ref="Q162:Q166"/>
    <mergeCell ref="R162:R166"/>
    <mergeCell ref="S162:S166"/>
    <mergeCell ref="T162:T166"/>
    <mergeCell ref="U162:U166"/>
    <mergeCell ref="V162:V166"/>
    <mergeCell ref="W162:W166"/>
    <mergeCell ref="A167:A171"/>
    <mergeCell ref="B167:B171"/>
    <mergeCell ref="C167:C171"/>
    <mergeCell ref="D167:D171"/>
    <mergeCell ref="E167:E171"/>
    <mergeCell ref="F167:F171"/>
    <mergeCell ref="G167:G171"/>
    <mergeCell ref="J167:J171"/>
    <mergeCell ref="K167:K171"/>
    <mergeCell ref="L167:L171"/>
    <mergeCell ref="M167:M171"/>
    <mergeCell ref="N167:N171"/>
    <mergeCell ref="O167:O171"/>
    <mergeCell ref="P167:P171"/>
    <mergeCell ref="Q167:Q171"/>
    <mergeCell ref="R167:R171"/>
    <mergeCell ref="S167:S171"/>
    <mergeCell ref="T167:T171"/>
    <mergeCell ref="U167:U171"/>
    <mergeCell ref="V167:V171"/>
    <mergeCell ref="W167:W171"/>
    <mergeCell ref="A172:A176"/>
    <mergeCell ref="B172:B176"/>
    <mergeCell ref="C172:C176"/>
    <mergeCell ref="D172:D176"/>
    <mergeCell ref="E172:E176"/>
    <mergeCell ref="F172:F176"/>
    <mergeCell ref="G172:G176"/>
    <mergeCell ref="J172:J176"/>
    <mergeCell ref="K172:K176"/>
    <mergeCell ref="L172:L176"/>
    <mergeCell ref="M172:M176"/>
    <mergeCell ref="N172:N176"/>
    <mergeCell ref="O172:O176"/>
    <mergeCell ref="P172:P176"/>
    <mergeCell ref="Q172:Q176"/>
    <mergeCell ref="R172:R176"/>
    <mergeCell ref="S172:S176"/>
    <mergeCell ref="T172:T176"/>
    <mergeCell ref="U172:U176"/>
    <mergeCell ref="V172:V176"/>
    <mergeCell ref="W172:W176"/>
    <mergeCell ref="A177:A181"/>
    <mergeCell ref="B177:B181"/>
    <mergeCell ref="C177:C181"/>
    <mergeCell ref="D177:D181"/>
    <mergeCell ref="E177:E181"/>
    <mergeCell ref="F177:F181"/>
    <mergeCell ref="G177:G181"/>
    <mergeCell ref="J177:J181"/>
    <mergeCell ref="K177:K181"/>
    <mergeCell ref="L177:L181"/>
    <mergeCell ref="M177:M181"/>
    <mergeCell ref="N177:N181"/>
    <mergeCell ref="O177:O181"/>
    <mergeCell ref="P177:P181"/>
    <mergeCell ref="Q177:Q181"/>
    <mergeCell ref="R177:R181"/>
    <mergeCell ref="S177:S181"/>
    <mergeCell ref="T177:T181"/>
    <mergeCell ref="U177:U181"/>
    <mergeCell ref="V177:V181"/>
    <mergeCell ref="W177:W181"/>
    <mergeCell ref="A182:A186"/>
    <mergeCell ref="B182:B186"/>
    <mergeCell ref="C182:C186"/>
    <mergeCell ref="D182:D186"/>
    <mergeCell ref="E182:E186"/>
    <mergeCell ref="F182:F186"/>
    <mergeCell ref="G182:G186"/>
    <mergeCell ref="J182:J186"/>
    <mergeCell ref="K182:K186"/>
    <mergeCell ref="L182:L186"/>
    <mergeCell ref="M182:M186"/>
    <mergeCell ref="N182:N186"/>
    <mergeCell ref="O182:O186"/>
    <mergeCell ref="P182:P186"/>
    <mergeCell ref="Q182:Q186"/>
    <mergeCell ref="R182:R186"/>
    <mergeCell ref="S182:S186"/>
    <mergeCell ref="T182:T186"/>
    <mergeCell ref="U182:U186"/>
    <mergeCell ref="V182:V186"/>
    <mergeCell ref="W182:W186"/>
    <mergeCell ref="A187:A191"/>
    <mergeCell ref="B187:B191"/>
    <mergeCell ref="C187:C191"/>
    <mergeCell ref="D187:D191"/>
    <mergeCell ref="E187:E191"/>
    <mergeCell ref="F187:F191"/>
    <mergeCell ref="G187:G191"/>
    <mergeCell ref="J187:J191"/>
    <mergeCell ref="K187:K191"/>
    <mergeCell ref="L187:L191"/>
    <mergeCell ref="M187:M191"/>
    <mergeCell ref="N187:N191"/>
    <mergeCell ref="O187:O191"/>
    <mergeCell ref="P187:P191"/>
    <mergeCell ref="Q187:Q191"/>
    <mergeCell ref="R187:R191"/>
    <mergeCell ref="S187:S191"/>
    <mergeCell ref="T187:T191"/>
    <mergeCell ref="U187:U191"/>
    <mergeCell ref="V187:V191"/>
    <mergeCell ref="W187:W191"/>
    <mergeCell ref="A192:A196"/>
    <mergeCell ref="B192:B196"/>
    <mergeCell ref="C192:C196"/>
    <mergeCell ref="D192:D196"/>
    <mergeCell ref="E192:E196"/>
    <mergeCell ref="F192:F196"/>
    <mergeCell ref="G192:G196"/>
    <mergeCell ref="J192:J196"/>
    <mergeCell ref="K192:K196"/>
    <mergeCell ref="L192:L196"/>
    <mergeCell ref="M192:M196"/>
    <mergeCell ref="N192:N196"/>
    <mergeCell ref="O192:O196"/>
    <mergeCell ref="P192:P196"/>
    <mergeCell ref="Q192:Q196"/>
    <mergeCell ref="R192:R196"/>
    <mergeCell ref="S192:S196"/>
    <mergeCell ref="T192:T196"/>
    <mergeCell ref="U192:U196"/>
    <mergeCell ref="V192:V196"/>
    <mergeCell ref="W192:W196"/>
    <mergeCell ref="A197:A201"/>
    <mergeCell ref="B197:B201"/>
    <mergeCell ref="C197:C201"/>
    <mergeCell ref="D197:D201"/>
    <mergeCell ref="E197:E201"/>
    <mergeCell ref="F197:F201"/>
    <mergeCell ref="G197:G201"/>
    <mergeCell ref="J197:J201"/>
    <mergeCell ref="K197:K201"/>
    <mergeCell ref="L197:L201"/>
    <mergeCell ref="M197:M201"/>
    <mergeCell ref="N197:N201"/>
    <mergeCell ref="O197:O201"/>
    <mergeCell ref="P197:P201"/>
    <mergeCell ref="Q197:Q201"/>
    <mergeCell ref="R197:R201"/>
    <mergeCell ref="S197:S201"/>
    <mergeCell ref="T197:T201"/>
    <mergeCell ref="U197:U201"/>
    <mergeCell ref="V197:V201"/>
    <mergeCell ref="W197:W201"/>
    <mergeCell ref="A202:A206"/>
    <mergeCell ref="B202:B206"/>
    <mergeCell ref="C202:C206"/>
    <mergeCell ref="D202:D206"/>
    <mergeCell ref="E202:E206"/>
    <mergeCell ref="F202:F206"/>
    <mergeCell ref="G202:G206"/>
    <mergeCell ref="J202:J206"/>
    <mergeCell ref="K202:K206"/>
    <mergeCell ref="L202:L206"/>
    <mergeCell ref="M202:M206"/>
    <mergeCell ref="N202:N206"/>
    <mergeCell ref="O202:O206"/>
    <mergeCell ref="P202:P206"/>
    <mergeCell ref="Q202:Q206"/>
    <mergeCell ref="R202:R206"/>
    <mergeCell ref="S202:S206"/>
    <mergeCell ref="T202:T206"/>
    <mergeCell ref="U202:U206"/>
    <mergeCell ref="V202:V206"/>
    <mergeCell ref="W202:W206"/>
    <mergeCell ref="A207:A211"/>
    <mergeCell ref="B207:B211"/>
    <mergeCell ref="C207:C211"/>
    <mergeCell ref="D207:D211"/>
    <mergeCell ref="E207:E211"/>
    <mergeCell ref="F207:F211"/>
    <mergeCell ref="G207:G211"/>
    <mergeCell ref="J207:J211"/>
    <mergeCell ref="K207:K211"/>
    <mergeCell ref="L207:L211"/>
    <mergeCell ref="M207:M211"/>
    <mergeCell ref="N207:N211"/>
    <mergeCell ref="O207:O211"/>
    <mergeCell ref="P207:P211"/>
    <mergeCell ref="Q207:Q211"/>
    <mergeCell ref="R207:R211"/>
    <mergeCell ref="S207:S211"/>
    <mergeCell ref="T207:T211"/>
    <mergeCell ref="U207:U211"/>
    <mergeCell ref="V207:V211"/>
    <mergeCell ref="W207:W211"/>
    <mergeCell ref="A212:A216"/>
    <mergeCell ref="B212:B216"/>
    <mergeCell ref="C212:C216"/>
    <mergeCell ref="D212:D216"/>
    <mergeCell ref="E212:E216"/>
    <mergeCell ref="F212:F216"/>
    <mergeCell ref="G212:G216"/>
    <mergeCell ref="J212:J216"/>
    <mergeCell ref="K212:K216"/>
    <mergeCell ref="L212:L216"/>
    <mergeCell ref="M212:M216"/>
    <mergeCell ref="N212:N216"/>
    <mergeCell ref="O212:O216"/>
    <mergeCell ref="P212:P216"/>
    <mergeCell ref="Q212:Q216"/>
    <mergeCell ref="R212:R216"/>
    <mergeCell ref="S212:S216"/>
    <mergeCell ref="T212:T216"/>
    <mergeCell ref="U212:U216"/>
    <mergeCell ref="V212:V216"/>
    <mergeCell ref="W212:W216"/>
    <mergeCell ref="A217:A221"/>
    <mergeCell ref="B217:B221"/>
    <mergeCell ref="C217:C221"/>
    <mergeCell ref="D217:D221"/>
    <mergeCell ref="E217:E221"/>
    <mergeCell ref="F217:F221"/>
    <mergeCell ref="G217:G221"/>
    <mergeCell ref="J217:J221"/>
    <mergeCell ref="K217:K221"/>
    <mergeCell ref="L217:L221"/>
    <mergeCell ref="M217:M221"/>
    <mergeCell ref="N217:N221"/>
    <mergeCell ref="O217:O221"/>
    <mergeCell ref="P217:P221"/>
    <mergeCell ref="Q217:Q221"/>
    <mergeCell ref="R217:R221"/>
    <mergeCell ref="S217:S221"/>
    <mergeCell ref="T217:T221"/>
    <mergeCell ref="U217:U221"/>
    <mergeCell ref="V217:V221"/>
    <mergeCell ref="W217:W221"/>
    <mergeCell ref="A222:A226"/>
    <mergeCell ref="B222:B226"/>
    <mergeCell ref="C222:C226"/>
    <mergeCell ref="D222:D226"/>
    <mergeCell ref="E222:E226"/>
    <mergeCell ref="F222:F226"/>
    <mergeCell ref="G222:G226"/>
    <mergeCell ref="J222:J226"/>
    <mergeCell ref="K222:K226"/>
    <mergeCell ref="L222:L226"/>
    <mergeCell ref="M222:M226"/>
    <mergeCell ref="N222:N226"/>
    <mergeCell ref="O222:O226"/>
    <mergeCell ref="P222:P226"/>
    <mergeCell ref="Q222:Q226"/>
    <mergeCell ref="R222:R226"/>
    <mergeCell ref="S222:S226"/>
    <mergeCell ref="T222:T226"/>
    <mergeCell ref="U222:U226"/>
    <mergeCell ref="V222:V226"/>
    <mergeCell ref="W222:W226"/>
    <mergeCell ref="A227:A231"/>
    <mergeCell ref="B227:B231"/>
    <mergeCell ref="C227:C231"/>
    <mergeCell ref="D227:D231"/>
    <mergeCell ref="E227:E231"/>
    <mergeCell ref="F227:F231"/>
    <mergeCell ref="G227:G231"/>
    <mergeCell ref="J227:J231"/>
    <mergeCell ref="K227:K231"/>
    <mergeCell ref="L227:L231"/>
    <mergeCell ref="M227:M231"/>
    <mergeCell ref="N227:N231"/>
    <mergeCell ref="O227:O231"/>
    <mergeCell ref="P227:P231"/>
    <mergeCell ref="Q227:Q231"/>
    <mergeCell ref="R227:R231"/>
    <mergeCell ref="S227:S231"/>
    <mergeCell ref="T227:T231"/>
    <mergeCell ref="U227:U231"/>
    <mergeCell ref="V227:V231"/>
    <mergeCell ref="W227:W231"/>
    <mergeCell ref="A232:A236"/>
    <mergeCell ref="B232:B236"/>
    <mergeCell ref="C232:C236"/>
    <mergeCell ref="D232:D236"/>
    <mergeCell ref="E232:E236"/>
    <mergeCell ref="F232:F236"/>
    <mergeCell ref="G232:G236"/>
    <mergeCell ref="J232:J236"/>
    <mergeCell ref="K232:K236"/>
    <mergeCell ref="L232:L236"/>
    <mergeCell ref="M232:M236"/>
    <mergeCell ref="N232:N236"/>
    <mergeCell ref="O232:O236"/>
    <mergeCell ref="P232:P236"/>
    <mergeCell ref="Q232:Q236"/>
    <mergeCell ref="R232:R236"/>
    <mergeCell ref="S232:S236"/>
    <mergeCell ref="T232:T236"/>
    <mergeCell ref="U232:U236"/>
    <mergeCell ref="V232:V236"/>
    <mergeCell ref="W232:W236"/>
    <mergeCell ref="A237:A241"/>
    <mergeCell ref="B237:B241"/>
    <mergeCell ref="C237:C241"/>
    <mergeCell ref="D237:D241"/>
    <mergeCell ref="E237:E241"/>
    <mergeCell ref="F237:F241"/>
    <mergeCell ref="G237:G241"/>
    <mergeCell ref="J237:J241"/>
    <mergeCell ref="K237:K241"/>
    <mergeCell ref="L237:L241"/>
    <mergeCell ref="M237:M241"/>
    <mergeCell ref="N237:N241"/>
    <mergeCell ref="O237:O241"/>
    <mergeCell ref="P237:P241"/>
    <mergeCell ref="Q237:Q241"/>
    <mergeCell ref="R237:R241"/>
    <mergeCell ref="S237:S241"/>
    <mergeCell ref="T237:T241"/>
    <mergeCell ref="U237:U241"/>
    <mergeCell ref="V237:V241"/>
    <mergeCell ref="W237:W241"/>
    <mergeCell ref="A242:A246"/>
    <mergeCell ref="B242:B246"/>
    <mergeCell ref="C242:C246"/>
    <mergeCell ref="D242:D246"/>
    <mergeCell ref="E242:E246"/>
    <mergeCell ref="F242:F246"/>
    <mergeCell ref="G242:G246"/>
    <mergeCell ref="J242:J246"/>
    <mergeCell ref="K242:K246"/>
    <mergeCell ref="L242:L246"/>
    <mergeCell ref="M242:M246"/>
    <mergeCell ref="N242:N246"/>
    <mergeCell ref="O242:O246"/>
    <mergeCell ref="P242:P246"/>
    <mergeCell ref="Q242:Q246"/>
    <mergeCell ref="R242:R246"/>
    <mergeCell ref="S242:S246"/>
    <mergeCell ref="T242:T246"/>
    <mergeCell ref="U242:U246"/>
    <mergeCell ref="V242:V246"/>
    <mergeCell ref="W242:W246"/>
    <mergeCell ref="A247:A251"/>
    <mergeCell ref="B247:B251"/>
    <mergeCell ref="C247:C251"/>
    <mergeCell ref="D247:D251"/>
    <mergeCell ref="E247:E251"/>
    <mergeCell ref="F247:F251"/>
    <mergeCell ref="G247:G251"/>
    <mergeCell ref="J247:J251"/>
    <mergeCell ref="K247:K251"/>
    <mergeCell ref="L247:L251"/>
    <mergeCell ref="M247:M251"/>
    <mergeCell ref="N247:N251"/>
    <mergeCell ref="O247:O251"/>
    <mergeCell ref="P247:P251"/>
    <mergeCell ref="Q247:Q251"/>
    <mergeCell ref="R247:R251"/>
    <mergeCell ref="S247:S251"/>
    <mergeCell ref="T247:T251"/>
    <mergeCell ref="U247:U251"/>
    <mergeCell ref="V247:V251"/>
    <mergeCell ref="W247:W251"/>
    <mergeCell ref="A252:A256"/>
    <mergeCell ref="B252:B256"/>
    <mergeCell ref="C252:C256"/>
    <mergeCell ref="D252:D256"/>
    <mergeCell ref="E252:E256"/>
    <mergeCell ref="F252:F256"/>
    <mergeCell ref="G252:G256"/>
    <mergeCell ref="J252:J256"/>
    <mergeCell ref="K252:K256"/>
    <mergeCell ref="L252:L256"/>
    <mergeCell ref="M252:M256"/>
    <mergeCell ref="N252:N256"/>
    <mergeCell ref="O252:O256"/>
    <mergeCell ref="P252:P256"/>
    <mergeCell ref="Q252:Q256"/>
    <mergeCell ref="R252:R256"/>
    <mergeCell ref="S252:S256"/>
    <mergeCell ref="T252:T256"/>
    <mergeCell ref="U252:U256"/>
    <mergeCell ref="V252:V256"/>
    <mergeCell ref="W252:W256"/>
    <mergeCell ref="A257:A261"/>
    <mergeCell ref="B257:B261"/>
    <mergeCell ref="C257:C261"/>
    <mergeCell ref="D257:D261"/>
    <mergeCell ref="E257:E261"/>
    <mergeCell ref="F257:F261"/>
    <mergeCell ref="G257:G261"/>
    <mergeCell ref="J257:J261"/>
    <mergeCell ref="K257:K261"/>
    <mergeCell ref="L257:L261"/>
    <mergeCell ref="M257:M261"/>
    <mergeCell ref="N257:N261"/>
    <mergeCell ref="O257:O261"/>
    <mergeCell ref="P257:P261"/>
    <mergeCell ref="Q257:Q261"/>
    <mergeCell ref="R257:R261"/>
    <mergeCell ref="S257:S261"/>
    <mergeCell ref="T257:T261"/>
    <mergeCell ref="U257:U261"/>
    <mergeCell ref="V257:V261"/>
    <mergeCell ref="W257:W261"/>
    <mergeCell ref="A262:A266"/>
    <mergeCell ref="B262:B266"/>
    <mergeCell ref="C262:C266"/>
    <mergeCell ref="D262:D266"/>
    <mergeCell ref="E262:E266"/>
    <mergeCell ref="F262:F266"/>
    <mergeCell ref="G262:G266"/>
    <mergeCell ref="J262:J266"/>
    <mergeCell ref="K262:K266"/>
    <mergeCell ref="L262:L266"/>
    <mergeCell ref="M262:M266"/>
    <mergeCell ref="N262:N266"/>
    <mergeCell ref="O262:O266"/>
    <mergeCell ref="P262:P266"/>
    <mergeCell ref="Q262:Q266"/>
    <mergeCell ref="R262:R266"/>
    <mergeCell ref="S262:S266"/>
    <mergeCell ref="T262:T266"/>
    <mergeCell ref="U262:U266"/>
    <mergeCell ref="V262:V266"/>
    <mergeCell ref="W262:W266"/>
    <mergeCell ref="A267:A271"/>
    <mergeCell ref="B267:B271"/>
    <mergeCell ref="C267:C271"/>
    <mergeCell ref="D267:D271"/>
    <mergeCell ref="E267:E271"/>
    <mergeCell ref="F267:F271"/>
    <mergeCell ref="G267:G271"/>
    <mergeCell ref="J267:J271"/>
    <mergeCell ref="K267:K271"/>
    <mergeCell ref="L267:L271"/>
    <mergeCell ref="M267:M271"/>
    <mergeCell ref="N267:N271"/>
    <mergeCell ref="O267:O271"/>
    <mergeCell ref="P267:P271"/>
    <mergeCell ref="Q267:Q271"/>
    <mergeCell ref="R267:R271"/>
    <mergeCell ref="S267:S271"/>
    <mergeCell ref="T267:T271"/>
    <mergeCell ref="U267:U271"/>
    <mergeCell ref="V267:V271"/>
    <mergeCell ref="W267:W271"/>
    <mergeCell ref="A272:A276"/>
    <mergeCell ref="B272:B276"/>
    <mergeCell ref="C272:C276"/>
    <mergeCell ref="D272:D276"/>
    <mergeCell ref="E272:E276"/>
    <mergeCell ref="F272:F276"/>
    <mergeCell ref="G272:G276"/>
    <mergeCell ref="J272:J276"/>
    <mergeCell ref="K272:K276"/>
    <mergeCell ref="L272:L276"/>
    <mergeCell ref="M272:M276"/>
    <mergeCell ref="N272:N276"/>
    <mergeCell ref="O272:O276"/>
    <mergeCell ref="P272:P276"/>
    <mergeCell ref="Q272:Q276"/>
    <mergeCell ref="R272:R276"/>
    <mergeCell ref="S272:S276"/>
    <mergeCell ref="T272:T276"/>
    <mergeCell ref="U272:U276"/>
    <mergeCell ref="V272:V276"/>
    <mergeCell ref="W272:W276"/>
    <mergeCell ref="A277:A281"/>
    <mergeCell ref="B277:B281"/>
    <mergeCell ref="C277:C281"/>
    <mergeCell ref="D277:D281"/>
    <mergeCell ref="E277:E281"/>
    <mergeCell ref="F277:F281"/>
    <mergeCell ref="G277:G281"/>
    <mergeCell ref="J277:J281"/>
    <mergeCell ref="K277:K281"/>
    <mergeCell ref="L277:L281"/>
    <mergeCell ref="M277:M281"/>
    <mergeCell ref="N277:N281"/>
    <mergeCell ref="O277:O281"/>
    <mergeCell ref="P277:P281"/>
    <mergeCell ref="Q277:Q281"/>
    <mergeCell ref="R277:R281"/>
    <mergeCell ref="S277:S281"/>
    <mergeCell ref="T277:T281"/>
    <mergeCell ref="U277:U281"/>
    <mergeCell ref="V277:V281"/>
    <mergeCell ref="W277:W281"/>
    <mergeCell ref="A282:A286"/>
    <mergeCell ref="B282:B286"/>
    <mergeCell ref="C282:C286"/>
    <mergeCell ref="D282:D286"/>
    <mergeCell ref="E282:E286"/>
    <mergeCell ref="F282:F286"/>
    <mergeCell ref="G282:G286"/>
    <mergeCell ref="J282:J286"/>
    <mergeCell ref="K282:K286"/>
    <mergeCell ref="L282:L286"/>
    <mergeCell ref="M282:M286"/>
    <mergeCell ref="N282:N286"/>
    <mergeCell ref="O282:O286"/>
    <mergeCell ref="P282:P286"/>
    <mergeCell ref="Q282:Q286"/>
    <mergeCell ref="R282:R286"/>
    <mergeCell ref="S282:S286"/>
    <mergeCell ref="T282:T286"/>
    <mergeCell ref="U282:U286"/>
    <mergeCell ref="V282:V286"/>
    <mergeCell ref="W282:W286"/>
    <mergeCell ref="A287:A291"/>
    <mergeCell ref="B287:B291"/>
    <mergeCell ref="C287:C291"/>
    <mergeCell ref="D287:D291"/>
    <mergeCell ref="E287:E291"/>
    <mergeCell ref="F287:F291"/>
    <mergeCell ref="G287:G291"/>
    <mergeCell ref="J287:J291"/>
    <mergeCell ref="K287:K291"/>
    <mergeCell ref="L287:L291"/>
    <mergeCell ref="M287:M291"/>
    <mergeCell ref="N287:N291"/>
    <mergeCell ref="O287:O291"/>
    <mergeCell ref="P287:P291"/>
    <mergeCell ref="Q287:Q291"/>
    <mergeCell ref="R287:R291"/>
    <mergeCell ref="S287:S291"/>
    <mergeCell ref="T287:T291"/>
    <mergeCell ref="U287:U291"/>
    <mergeCell ref="V287:V291"/>
    <mergeCell ref="W287:W291"/>
    <mergeCell ref="A292:A296"/>
    <mergeCell ref="B292:B296"/>
    <mergeCell ref="C292:C296"/>
    <mergeCell ref="D292:D296"/>
    <mergeCell ref="E292:E296"/>
    <mergeCell ref="F292:F296"/>
    <mergeCell ref="G292:G296"/>
    <mergeCell ref="J292:J296"/>
    <mergeCell ref="K292:K296"/>
    <mergeCell ref="L292:L296"/>
    <mergeCell ref="M292:M296"/>
    <mergeCell ref="N292:N296"/>
    <mergeCell ref="O292:O296"/>
    <mergeCell ref="P292:P296"/>
    <mergeCell ref="Q292:Q296"/>
    <mergeCell ref="R292:R296"/>
    <mergeCell ref="S292:S296"/>
    <mergeCell ref="T292:T296"/>
    <mergeCell ref="U292:U296"/>
    <mergeCell ref="V292:V296"/>
    <mergeCell ref="W292:W296"/>
    <mergeCell ref="A297:A301"/>
    <mergeCell ref="B297:B301"/>
    <mergeCell ref="C297:C301"/>
    <mergeCell ref="D297:D301"/>
    <mergeCell ref="E297:E301"/>
    <mergeCell ref="F297:F301"/>
    <mergeCell ref="G297:G301"/>
    <mergeCell ref="J297:J301"/>
    <mergeCell ref="K297:K301"/>
    <mergeCell ref="L297:L301"/>
    <mergeCell ref="M297:M301"/>
    <mergeCell ref="N297:N301"/>
    <mergeCell ref="O297:O301"/>
    <mergeCell ref="P297:P301"/>
    <mergeCell ref="Q297:Q301"/>
    <mergeCell ref="R297:R301"/>
    <mergeCell ref="S297:S301"/>
    <mergeCell ref="T297:T301"/>
    <mergeCell ref="U297:U301"/>
    <mergeCell ref="V297:V301"/>
    <mergeCell ref="W297:W301"/>
    <mergeCell ref="A302:A306"/>
    <mergeCell ref="B302:B306"/>
    <mergeCell ref="C302:C306"/>
    <mergeCell ref="D302:D306"/>
    <mergeCell ref="E302:E306"/>
    <mergeCell ref="F302:F306"/>
    <mergeCell ref="G302:G306"/>
    <mergeCell ref="J302:J306"/>
    <mergeCell ref="K302:K306"/>
    <mergeCell ref="L302:L306"/>
    <mergeCell ref="M302:M306"/>
    <mergeCell ref="N302:N306"/>
    <mergeCell ref="O302:O306"/>
    <mergeCell ref="P302:P306"/>
    <mergeCell ref="Q302:Q306"/>
    <mergeCell ref="R302:R306"/>
    <mergeCell ref="S302:S306"/>
    <mergeCell ref="T302:T306"/>
    <mergeCell ref="U302:U306"/>
    <mergeCell ref="V302:V306"/>
    <mergeCell ref="W302:W306"/>
    <mergeCell ref="A307:A311"/>
    <mergeCell ref="B307:B311"/>
    <mergeCell ref="C307:C311"/>
    <mergeCell ref="D307:D311"/>
    <mergeCell ref="E307:E311"/>
    <mergeCell ref="F307:F311"/>
    <mergeCell ref="G307:G311"/>
    <mergeCell ref="J307:J311"/>
    <mergeCell ref="K307:K311"/>
    <mergeCell ref="L307:L311"/>
    <mergeCell ref="M307:M311"/>
    <mergeCell ref="N307:N311"/>
    <mergeCell ref="O307:O311"/>
    <mergeCell ref="P307:P311"/>
    <mergeCell ref="Q307:Q311"/>
    <mergeCell ref="R307:R311"/>
    <mergeCell ref="S307:S311"/>
    <mergeCell ref="T307:T311"/>
    <mergeCell ref="U307:U311"/>
    <mergeCell ref="V307:V311"/>
    <mergeCell ref="W307:W311"/>
    <mergeCell ref="A312:A316"/>
    <mergeCell ref="B312:B316"/>
    <mergeCell ref="C312:C316"/>
    <mergeCell ref="D312:D316"/>
    <mergeCell ref="E312:E316"/>
    <mergeCell ref="F312:F316"/>
    <mergeCell ref="G312:G316"/>
    <mergeCell ref="J312:J316"/>
    <mergeCell ref="K312:K316"/>
    <mergeCell ref="L312:L316"/>
    <mergeCell ref="M312:M316"/>
    <mergeCell ref="N312:N316"/>
    <mergeCell ref="O312:O316"/>
    <mergeCell ref="P312:P316"/>
    <mergeCell ref="Q312:Q316"/>
    <mergeCell ref="R312:R316"/>
    <mergeCell ref="S312:S316"/>
    <mergeCell ref="T312:T316"/>
    <mergeCell ref="U312:U316"/>
    <mergeCell ref="V312:V316"/>
    <mergeCell ref="W312:W316"/>
    <mergeCell ref="A317:G321"/>
    <mergeCell ref="J317:J321"/>
    <mergeCell ref="K317:K321"/>
    <mergeCell ref="L317:L321"/>
    <mergeCell ref="M317:M321"/>
    <mergeCell ref="N317:N321"/>
    <mergeCell ref="O317:O321"/>
    <mergeCell ref="P317:P321"/>
    <mergeCell ref="Q317:Q321"/>
    <mergeCell ref="R317:R321"/>
    <mergeCell ref="S317:S321"/>
    <mergeCell ref="T317:T321"/>
    <mergeCell ref="U317:U321"/>
    <mergeCell ref="V317:V321"/>
    <mergeCell ref="W317:W321"/>
    <mergeCell ref="A322:W322"/>
    <mergeCell ref="A323:W323"/>
    <mergeCell ref="A324:W324"/>
    <mergeCell ref="A325:A329"/>
    <mergeCell ref="B325:B329"/>
    <mergeCell ref="C325:C329"/>
    <mergeCell ref="D325:D329"/>
    <mergeCell ref="E325:E329"/>
    <mergeCell ref="F325:F329"/>
    <mergeCell ref="G325:G329"/>
    <mergeCell ref="J325:J329"/>
    <mergeCell ref="K325:K329"/>
    <mergeCell ref="L325:L329"/>
    <mergeCell ref="M325:M329"/>
    <mergeCell ref="N325:N329"/>
    <mergeCell ref="O325:O329"/>
    <mergeCell ref="P325:P329"/>
    <mergeCell ref="Q325:Q329"/>
    <mergeCell ref="R325:R329"/>
    <mergeCell ref="S325:S329"/>
    <mergeCell ref="T325:T329"/>
    <mergeCell ref="U325:U329"/>
    <mergeCell ref="V325:V329"/>
    <mergeCell ref="W325:W329"/>
    <mergeCell ref="A330:A334"/>
    <mergeCell ref="B330:B334"/>
    <mergeCell ref="C330:C334"/>
    <mergeCell ref="D330:D334"/>
    <mergeCell ref="E330:E334"/>
    <mergeCell ref="F330:F334"/>
    <mergeCell ref="G330:G334"/>
    <mergeCell ref="J330:J334"/>
    <mergeCell ref="K330:K334"/>
    <mergeCell ref="L330:L334"/>
    <mergeCell ref="M330:M334"/>
    <mergeCell ref="N330:N334"/>
    <mergeCell ref="O330:O334"/>
    <mergeCell ref="P330:P334"/>
    <mergeCell ref="Q330:Q334"/>
    <mergeCell ref="R330:R334"/>
    <mergeCell ref="S330:S334"/>
    <mergeCell ref="T330:T334"/>
    <mergeCell ref="U330:U334"/>
    <mergeCell ref="V330:V334"/>
    <mergeCell ref="W330:W334"/>
    <mergeCell ref="A335:A339"/>
    <mergeCell ref="B335:B339"/>
    <mergeCell ref="C335:C339"/>
    <mergeCell ref="D335:D339"/>
    <mergeCell ref="E335:E339"/>
    <mergeCell ref="F335:F339"/>
    <mergeCell ref="G335:G339"/>
    <mergeCell ref="J335:J339"/>
    <mergeCell ref="K335:K339"/>
    <mergeCell ref="L335:L339"/>
    <mergeCell ref="M335:M339"/>
    <mergeCell ref="N335:N339"/>
    <mergeCell ref="O335:O339"/>
    <mergeCell ref="P335:P339"/>
    <mergeCell ref="Q335:Q339"/>
    <mergeCell ref="R335:R339"/>
    <mergeCell ref="S335:S339"/>
    <mergeCell ref="T335:T339"/>
    <mergeCell ref="U335:U339"/>
    <mergeCell ref="V335:V339"/>
    <mergeCell ref="W335:W339"/>
    <mergeCell ref="A340:A344"/>
    <mergeCell ref="B340:B344"/>
    <mergeCell ref="C340:C344"/>
    <mergeCell ref="D340:D344"/>
    <mergeCell ref="E340:E344"/>
    <mergeCell ref="F340:F344"/>
    <mergeCell ref="G340:G344"/>
    <mergeCell ref="J340:J344"/>
    <mergeCell ref="K340:K344"/>
    <mergeCell ref="L340:L344"/>
    <mergeCell ref="M340:M344"/>
    <mergeCell ref="N340:N344"/>
    <mergeCell ref="O340:O344"/>
    <mergeCell ref="P340:P344"/>
    <mergeCell ref="Q340:Q344"/>
    <mergeCell ref="R340:R344"/>
    <mergeCell ref="S340:S344"/>
    <mergeCell ref="T340:T344"/>
    <mergeCell ref="U340:U344"/>
    <mergeCell ref="V340:V344"/>
    <mergeCell ref="W340:W344"/>
    <mergeCell ref="A345:G349"/>
    <mergeCell ref="J345:J349"/>
    <mergeCell ref="K345:K349"/>
    <mergeCell ref="L345:L349"/>
    <mergeCell ref="M345:M349"/>
    <mergeCell ref="N345:N349"/>
    <mergeCell ref="O345:O349"/>
    <mergeCell ref="P345:P349"/>
    <mergeCell ref="Q345:Q349"/>
    <mergeCell ref="R345:R349"/>
    <mergeCell ref="S345:S349"/>
    <mergeCell ref="T345:T349"/>
    <mergeCell ref="U345:U349"/>
    <mergeCell ref="V345:V349"/>
    <mergeCell ref="W345:W349"/>
    <mergeCell ref="A350:W350"/>
    <mergeCell ref="A351:W351"/>
    <mergeCell ref="A352:W352"/>
    <mergeCell ref="A353:A357"/>
    <mergeCell ref="B353:B357"/>
    <mergeCell ref="C353:C357"/>
    <mergeCell ref="D353:D357"/>
    <mergeCell ref="E353:E357"/>
    <mergeCell ref="F353:F357"/>
    <mergeCell ref="G353:G357"/>
    <mergeCell ref="J353:J357"/>
    <mergeCell ref="K353:K357"/>
    <mergeCell ref="L353:L357"/>
    <mergeCell ref="M353:M357"/>
    <mergeCell ref="N353:N357"/>
    <mergeCell ref="O353:O357"/>
    <mergeCell ref="P353:P357"/>
    <mergeCell ref="Q353:Q357"/>
    <mergeCell ref="R353:R357"/>
    <mergeCell ref="S353:S357"/>
    <mergeCell ref="T353:T357"/>
    <mergeCell ref="U353:U357"/>
    <mergeCell ref="V353:V357"/>
    <mergeCell ref="W353:W357"/>
    <mergeCell ref="A358:A362"/>
    <mergeCell ref="B358:B362"/>
    <mergeCell ref="C358:C362"/>
    <mergeCell ref="D358:D362"/>
    <mergeCell ref="E358:E362"/>
    <mergeCell ref="F358:F362"/>
    <mergeCell ref="G358:G362"/>
    <mergeCell ref="J358:J362"/>
    <mergeCell ref="K358:K362"/>
    <mergeCell ref="L358:L362"/>
    <mergeCell ref="M358:M362"/>
    <mergeCell ref="N358:N362"/>
    <mergeCell ref="O358:O362"/>
    <mergeCell ref="P358:P362"/>
    <mergeCell ref="Q358:Q362"/>
    <mergeCell ref="R358:R362"/>
    <mergeCell ref="S358:S362"/>
    <mergeCell ref="T358:T362"/>
    <mergeCell ref="U358:U362"/>
    <mergeCell ref="V358:V362"/>
    <mergeCell ref="W358:W362"/>
    <mergeCell ref="A363:A367"/>
    <mergeCell ref="B363:B367"/>
    <mergeCell ref="C363:C367"/>
    <mergeCell ref="D363:D367"/>
    <mergeCell ref="E363:E367"/>
    <mergeCell ref="F363:F367"/>
    <mergeCell ref="G363:G367"/>
    <mergeCell ref="J363:J367"/>
    <mergeCell ref="K363:K367"/>
    <mergeCell ref="L363:L367"/>
    <mergeCell ref="M363:M367"/>
    <mergeCell ref="N363:N367"/>
    <mergeCell ref="O363:O367"/>
    <mergeCell ref="P363:P367"/>
    <mergeCell ref="Q363:Q367"/>
    <mergeCell ref="R363:R367"/>
    <mergeCell ref="S363:S367"/>
    <mergeCell ref="T363:T367"/>
    <mergeCell ref="U363:U367"/>
    <mergeCell ref="V363:V367"/>
    <mergeCell ref="W363:W367"/>
    <mergeCell ref="A368:A372"/>
    <mergeCell ref="B368:B372"/>
    <mergeCell ref="C368:C372"/>
    <mergeCell ref="D368:D372"/>
    <mergeCell ref="E368:E372"/>
    <mergeCell ref="F368:F372"/>
    <mergeCell ref="G368:G372"/>
    <mergeCell ref="J368:J372"/>
    <mergeCell ref="K368:K372"/>
    <mergeCell ref="L368:L372"/>
    <mergeCell ref="M368:M372"/>
    <mergeCell ref="N368:N372"/>
    <mergeCell ref="O368:O372"/>
    <mergeCell ref="P368:P372"/>
    <mergeCell ref="Q368:Q372"/>
    <mergeCell ref="R368:R372"/>
    <mergeCell ref="S368:S372"/>
    <mergeCell ref="T368:T372"/>
    <mergeCell ref="U368:U372"/>
    <mergeCell ref="V368:V372"/>
    <mergeCell ref="W368:W372"/>
    <mergeCell ref="A373:A377"/>
    <mergeCell ref="B373:B377"/>
    <mergeCell ref="C373:C377"/>
    <mergeCell ref="D373:D377"/>
    <mergeCell ref="E373:E377"/>
    <mergeCell ref="F373:F377"/>
    <mergeCell ref="G373:G377"/>
    <mergeCell ref="J373:J377"/>
    <mergeCell ref="K373:K377"/>
    <mergeCell ref="L373:L377"/>
    <mergeCell ref="M373:M377"/>
    <mergeCell ref="N373:N377"/>
    <mergeCell ref="O373:O377"/>
    <mergeCell ref="P373:P377"/>
    <mergeCell ref="Q373:Q377"/>
    <mergeCell ref="R373:R377"/>
    <mergeCell ref="S373:S377"/>
    <mergeCell ref="T373:T377"/>
    <mergeCell ref="U373:U377"/>
    <mergeCell ref="V373:V377"/>
    <mergeCell ref="W373:W377"/>
    <mergeCell ref="A378:A382"/>
    <mergeCell ref="B378:B382"/>
    <mergeCell ref="C378:C382"/>
    <mergeCell ref="D378:D382"/>
    <mergeCell ref="E378:E382"/>
    <mergeCell ref="F378:F382"/>
    <mergeCell ref="G378:G382"/>
    <mergeCell ref="J378:J382"/>
    <mergeCell ref="K378:K382"/>
    <mergeCell ref="L378:L382"/>
    <mergeCell ref="M378:M382"/>
    <mergeCell ref="N378:N382"/>
    <mergeCell ref="O378:O382"/>
    <mergeCell ref="P378:P382"/>
    <mergeCell ref="Q378:Q382"/>
    <mergeCell ref="R378:R382"/>
    <mergeCell ref="S378:S382"/>
    <mergeCell ref="T378:T382"/>
    <mergeCell ref="U378:U382"/>
    <mergeCell ref="V378:V382"/>
    <mergeCell ref="W378:W382"/>
    <mergeCell ref="A383:A387"/>
    <mergeCell ref="B383:B387"/>
    <mergeCell ref="C383:C387"/>
    <mergeCell ref="D383:D387"/>
    <mergeCell ref="E383:E387"/>
    <mergeCell ref="F383:F387"/>
    <mergeCell ref="G383:G387"/>
    <mergeCell ref="J383:J387"/>
    <mergeCell ref="K383:K387"/>
    <mergeCell ref="L383:L387"/>
    <mergeCell ref="M383:M387"/>
    <mergeCell ref="N383:N387"/>
    <mergeCell ref="O383:O387"/>
    <mergeCell ref="P383:P387"/>
    <mergeCell ref="Q383:Q387"/>
    <mergeCell ref="R383:R387"/>
    <mergeCell ref="S383:S387"/>
    <mergeCell ref="T383:T387"/>
    <mergeCell ref="U383:U387"/>
    <mergeCell ref="V383:V387"/>
    <mergeCell ref="W383:W387"/>
    <mergeCell ref="A388:A392"/>
    <mergeCell ref="B388:B392"/>
    <mergeCell ref="C388:C392"/>
    <mergeCell ref="D388:D392"/>
    <mergeCell ref="E388:E392"/>
    <mergeCell ref="F388:F392"/>
    <mergeCell ref="G388:G392"/>
    <mergeCell ref="J388:J392"/>
    <mergeCell ref="K388:K392"/>
    <mergeCell ref="L388:L392"/>
    <mergeCell ref="M388:M392"/>
    <mergeCell ref="N388:N392"/>
    <mergeCell ref="O388:O392"/>
    <mergeCell ref="P388:P392"/>
    <mergeCell ref="Q388:Q392"/>
    <mergeCell ref="R388:R392"/>
    <mergeCell ref="S388:S392"/>
    <mergeCell ref="T388:T392"/>
    <mergeCell ref="U388:U392"/>
    <mergeCell ref="V388:V392"/>
    <mergeCell ref="W388:W392"/>
    <mergeCell ref="A393:A397"/>
    <mergeCell ref="B393:B397"/>
    <mergeCell ref="C393:C397"/>
    <mergeCell ref="D393:D397"/>
    <mergeCell ref="E393:E397"/>
    <mergeCell ref="F393:F397"/>
    <mergeCell ref="G393:G397"/>
    <mergeCell ref="J393:J397"/>
    <mergeCell ref="K393:K397"/>
    <mergeCell ref="L393:L397"/>
    <mergeCell ref="M393:M397"/>
    <mergeCell ref="N393:N397"/>
    <mergeCell ref="O393:O397"/>
    <mergeCell ref="P393:P397"/>
    <mergeCell ref="Q393:Q397"/>
    <mergeCell ref="R393:R397"/>
    <mergeCell ref="S393:S397"/>
    <mergeCell ref="T393:T397"/>
    <mergeCell ref="U393:U397"/>
    <mergeCell ref="V393:V397"/>
    <mergeCell ref="W393:W397"/>
    <mergeCell ref="A398:A402"/>
    <mergeCell ref="B398:B402"/>
    <mergeCell ref="C398:C402"/>
    <mergeCell ref="D398:D402"/>
    <mergeCell ref="E398:E402"/>
    <mergeCell ref="F398:F402"/>
    <mergeCell ref="G398:G402"/>
    <mergeCell ref="J398:J402"/>
    <mergeCell ref="K398:K402"/>
    <mergeCell ref="L398:L402"/>
    <mergeCell ref="M398:M402"/>
    <mergeCell ref="N398:N402"/>
    <mergeCell ref="O398:O402"/>
    <mergeCell ref="P398:P402"/>
    <mergeCell ref="Q398:Q402"/>
    <mergeCell ref="R398:R402"/>
    <mergeCell ref="S398:S402"/>
    <mergeCell ref="T398:T402"/>
    <mergeCell ref="U398:U402"/>
    <mergeCell ref="V398:V402"/>
    <mergeCell ref="W398:W402"/>
    <mergeCell ref="A403:A407"/>
    <mergeCell ref="B403:B407"/>
    <mergeCell ref="C403:C407"/>
    <mergeCell ref="D403:D407"/>
    <mergeCell ref="E403:E407"/>
    <mergeCell ref="F403:F407"/>
    <mergeCell ref="G403:G407"/>
    <mergeCell ref="J403:J407"/>
    <mergeCell ref="K403:K407"/>
    <mergeCell ref="L403:L407"/>
    <mergeCell ref="M403:M407"/>
    <mergeCell ref="N403:N407"/>
    <mergeCell ref="O403:O407"/>
    <mergeCell ref="P403:P407"/>
    <mergeCell ref="Q403:Q407"/>
    <mergeCell ref="R403:R407"/>
    <mergeCell ref="S403:S407"/>
    <mergeCell ref="T403:T407"/>
    <mergeCell ref="U403:U407"/>
    <mergeCell ref="V403:V407"/>
    <mergeCell ref="W403:W407"/>
    <mergeCell ref="A408:A412"/>
    <mergeCell ref="B408:B412"/>
    <mergeCell ref="C408:C412"/>
    <mergeCell ref="D408:D412"/>
    <mergeCell ref="E408:E412"/>
    <mergeCell ref="F408:F412"/>
    <mergeCell ref="G408:G412"/>
    <mergeCell ref="J408:J412"/>
    <mergeCell ref="K408:K412"/>
    <mergeCell ref="L408:L412"/>
    <mergeCell ref="M408:M412"/>
    <mergeCell ref="N408:N412"/>
    <mergeCell ref="O408:O412"/>
    <mergeCell ref="P408:P412"/>
    <mergeCell ref="Q408:Q412"/>
    <mergeCell ref="R408:R412"/>
    <mergeCell ref="S408:S412"/>
    <mergeCell ref="T408:T412"/>
    <mergeCell ref="U408:U412"/>
    <mergeCell ref="V408:V412"/>
    <mergeCell ref="W408:W412"/>
    <mergeCell ref="A413:A417"/>
    <mergeCell ref="B413:B417"/>
    <mergeCell ref="C413:C417"/>
    <mergeCell ref="D413:D417"/>
    <mergeCell ref="E413:E417"/>
    <mergeCell ref="F413:F417"/>
    <mergeCell ref="G413:G417"/>
    <mergeCell ref="J413:J417"/>
    <mergeCell ref="K413:K417"/>
    <mergeCell ref="L413:L417"/>
    <mergeCell ref="M413:M417"/>
    <mergeCell ref="N413:N417"/>
    <mergeCell ref="O413:O417"/>
    <mergeCell ref="P413:P417"/>
    <mergeCell ref="Q413:Q417"/>
    <mergeCell ref="R413:R417"/>
    <mergeCell ref="S413:S417"/>
    <mergeCell ref="T413:T417"/>
    <mergeCell ref="U413:U417"/>
    <mergeCell ref="V413:V417"/>
    <mergeCell ref="W413:W417"/>
    <mergeCell ref="A418:A422"/>
    <mergeCell ref="B418:B422"/>
    <mergeCell ref="C418:C422"/>
    <mergeCell ref="D418:D422"/>
    <mergeCell ref="E418:E422"/>
    <mergeCell ref="F418:F422"/>
    <mergeCell ref="G418:G422"/>
    <mergeCell ref="J418:J422"/>
    <mergeCell ref="K418:K422"/>
    <mergeCell ref="L418:L422"/>
    <mergeCell ref="M418:M422"/>
    <mergeCell ref="N418:N422"/>
    <mergeCell ref="O418:O422"/>
    <mergeCell ref="P418:P422"/>
    <mergeCell ref="Q418:Q422"/>
    <mergeCell ref="R418:R422"/>
    <mergeCell ref="S418:S422"/>
    <mergeCell ref="T418:T422"/>
    <mergeCell ref="U418:U422"/>
    <mergeCell ref="V418:V422"/>
    <mergeCell ref="W418:W422"/>
    <mergeCell ref="A423:A427"/>
    <mergeCell ref="B423:B427"/>
    <mergeCell ref="C423:C427"/>
    <mergeCell ref="D423:D427"/>
    <mergeCell ref="E423:E427"/>
    <mergeCell ref="F423:F427"/>
    <mergeCell ref="G423:G427"/>
    <mergeCell ref="J423:J427"/>
    <mergeCell ref="K423:K427"/>
    <mergeCell ref="L423:L427"/>
    <mergeCell ref="M423:M427"/>
    <mergeCell ref="N423:N427"/>
    <mergeCell ref="O423:O427"/>
    <mergeCell ref="P423:P427"/>
    <mergeCell ref="Q423:Q427"/>
    <mergeCell ref="R423:R427"/>
    <mergeCell ref="S423:S427"/>
    <mergeCell ref="T423:T427"/>
    <mergeCell ref="U423:U427"/>
    <mergeCell ref="V423:V427"/>
    <mergeCell ref="W423:W427"/>
    <mergeCell ref="A428:A432"/>
    <mergeCell ref="B428:B432"/>
    <mergeCell ref="C428:C432"/>
    <mergeCell ref="D428:D432"/>
    <mergeCell ref="E428:E432"/>
    <mergeCell ref="F428:F432"/>
    <mergeCell ref="G428:G432"/>
    <mergeCell ref="J428:J432"/>
    <mergeCell ref="K428:K432"/>
    <mergeCell ref="L428:L432"/>
    <mergeCell ref="M428:M432"/>
    <mergeCell ref="N428:N432"/>
    <mergeCell ref="O428:O432"/>
    <mergeCell ref="P428:P432"/>
    <mergeCell ref="Q428:Q432"/>
    <mergeCell ref="R428:R432"/>
    <mergeCell ref="S428:S432"/>
    <mergeCell ref="T428:T432"/>
    <mergeCell ref="U428:U432"/>
    <mergeCell ref="V428:V432"/>
    <mergeCell ref="W428:W432"/>
    <mergeCell ref="A433:A437"/>
    <mergeCell ref="B433:B437"/>
    <mergeCell ref="C433:C437"/>
    <mergeCell ref="D433:D437"/>
    <mergeCell ref="E433:E437"/>
    <mergeCell ref="F433:F437"/>
    <mergeCell ref="G433:G437"/>
    <mergeCell ref="J433:J437"/>
    <mergeCell ref="K433:K437"/>
    <mergeCell ref="L433:L437"/>
    <mergeCell ref="M433:M437"/>
    <mergeCell ref="N433:N437"/>
    <mergeCell ref="O433:O437"/>
    <mergeCell ref="P433:P437"/>
    <mergeCell ref="Q433:Q437"/>
    <mergeCell ref="R433:R437"/>
    <mergeCell ref="S433:S437"/>
    <mergeCell ref="T433:T437"/>
    <mergeCell ref="U433:U437"/>
    <mergeCell ref="V433:V437"/>
    <mergeCell ref="W433:W437"/>
    <mergeCell ref="A438:A442"/>
    <mergeCell ref="B438:B442"/>
    <mergeCell ref="C438:C442"/>
    <mergeCell ref="D438:D442"/>
    <mergeCell ref="E438:E442"/>
    <mergeCell ref="F438:F442"/>
    <mergeCell ref="G438:G442"/>
    <mergeCell ref="J438:J442"/>
    <mergeCell ref="K438:K442"/>
    <mergeCell ref="L438:L442"/>
    <mergeCell ref="M438:M442"/>
    <mergeCell ref="N438:N442"/>
    <mergeCell ref="O438:O442"/>
    <mergeCell ref="P438:P442"/>
    <mergeCell ref="Q438:Q442"/>
    <mergeCell ref="R438:R442"/>
    <mergeCell ref="S438:S442"/>
    <mergeCell ref="T438:T442"/>
    <mergeCell ref="U438:U442"/>
    <mergeCell ref="V438:V442"/>
    <mergeCell ref="W438:W442"/>
    <mergeCell ref="A443:G447"/>
    <mergeCell ref="J443:J447"/>
    <mergeCell ref="K443:K447"/>
    <mergeCell ref="L443:L447"/>
    <mergeCell ref="M443:M447"/>
    <mergeCell ref="N443:N447"/>
    <mergeCell ref="O443:O447"/>
    <mergeCell ref="P443:P447"/>
    <mergeCell ref="Q443:Q447"/>
    <mergeCell ref="R443:R447"/>
    <mergeCell ref="S443:S447"/>
    <mergeCell ref="T443:T447"/>
    <mergeCell ref="U443:U447"/>
    <mergeCell ref="V443:V447"/>
    <mergeCell ref="W443:W447"/>
    <mergeCell ref="A448:G452"/>
    <mergeCell ref="J448:J452"/>
    <mergeCell ref="K448:K452"/>
    <mergeCell ref="L448:L452"/>
    <mergeCell ref="M448:M452"/>
    <mergeCell ref="N448:N452"/>
    <mergeCell ref="O448:O452"/>
    <mergeCell ref="P448:P452"/>
    <mergeCell ref="W448:W452"/>
    <mergeCell ref="Q448:Q452"/>
    <mergeCell ref="R448:R452"/>
    <mergeCell ref="S448:S452"/>
    <mergeCell ref="T448:T452"/>
    <mergeCell ref="U448:U452"/>
    <mergeCell ref="V448:V452"/>
  </mergeCells>
  <printOptions horizontalCentered="1"/>
  <pageMargins left="0.31496062992125984" right="0.2755905511811024" top="0.984251968503937" bottom="0.7480314960629921" header="0.31496062992125984" footer="0.31496062992125984"/>
  <pageSetup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6"/>
  <sheetViews>
    <sheetView view="pageBreakPreview" zoomScaleSheetLayoutView="100" zoomScalePageLayoutView="0" workbookViewId="0" topLeftCell="A1">
      <selection activeCell="C22" sqref="C22:C26"/>
    </sheetView>
  </sheetViews>
  <sheetFormatPr defaultColWidth="8.796875" defaultRowHeight="14.25"/>
  <cols>
    <col min="1" max="1" width="5.3984375" style="421" customWidth="1"/>
    <col min="2" max="2" width="13.09765625" style="421" customWidth="1"/>
    <col min="3" max="3" width="43.8984375" style="421" customWidth="1"/>
    <col min="4" max="4" width="10.69921875" style="421" customWidth="1"/>
    <col min="5" max="5" width="10.3984375" style="421" customWidth="1"/>
    <col min="6" max="6" width="11" style="421" customWidth="1"/>
    <col min="7" max="8" width="12.09765625" style="421" customWidth="1"/>
    <col min="9" max="9" width="12.8984375" style="421" customWidth="1"/>
    <col min="10" max="11" width="12.09765625" style="421" customWidth="1"/>
    <col min="12" max="12" width="11.3984375" style="421" customWidth="1"/>
    <col min="13" max="14" width="11.8984375" style="421" customWidth="1"/>
    <col min="15" max="15" width="11.69921875" style="421" customWidth="1"/>
    <col min="16" max="16" width="11.3984375" style="421" customWidth="1"/>
    <col min="17" max="17" width="11.8984375" style="421" customWidth="1"/>
    <col min="18" max="18" width="11.3984375" style="421" customWidth="1"/>
    <col min="19" max="19" width="10.3984375" style="421" customWidth="1"/>
    <col min="20" max="20" width="12.8984375" style="421" customWidth="1"/>
    <col min="21" max="21" width="11.69921875" style="421" customWidth="1"/>
    <col min="22" max="22" width="11" style="421" customWidth="1"/>
    <col min="23" max="16384" width="9" style="421" customWidth="1"/>
  </cols>
  <sheetData>
    <row r="1" spans="1:20" s="394" customFormat="1" ht="15.75">
      <c r="A1" s="393" t="s">
        <v>145</v>
      </c>
      <c r="T1" s="395" t="s">
        <v>753</v>
      </c>
    </row>
    <row r="2" spans="1:20" s="394" customFormat="1" ht="15.75">
      <c r="A2" s="393"/>
      <c r="T2" s="395" t="s">
        <v>754</v>
      </c>
    </row>
    <row r="3" spans="1:20" s="394" customFormat="1" ht="15.75">
      <c r="A3" s="393"/>
      <c r="T3" s="395" t="s">
        <v>692</v>
      </c>
    </row>
    <row r="4" s="394" customFormat="1" ht="10.5" customHeight="1">
      <c r="A4" s="393"/>
    </row>
    <row r="5" spans="1:22" s="394" customFormat="1" ht="43.5" customHeight="1">
      <c r="A5" s="1049" t="s">
        <v>693</v>
      </c>
      <c r="B5" s="1049"/>
      <c r="C5" s="1049"/>
      <c r="D5" s="1049"/>
      <c r="E5" s="1049"/>
      <c r="F5" s="1049"/>
      <c r="G5" s="1049"/>
      <c r="H5" s="1049"/>
      <c r="I5" s="1049"/>
      <c r="J5" s="1049"/>
      <c r="K5" s="1049"/>
      <c r="L5" s="1049"/>
      <c r="M5" s="1049"/>
      <c r="N5" s="1049"/>
      <c r="O5" s="1049"/>
      <c r="P5" s="1049"/>
      <c r="Q5" s="1049"/>
      <c r="R5" s="1049"/>
      <c r="S5" s="1049"/>
      <c r="T5" s="1049"/>
      <c r="U5" s="1049"/>
      <c r="V5" s="1049"/>
    </row>
    <row r="6" spans="1:20" s="394" customFormat="1" ht="12" customHeight="1">
      <c r="A6" s="396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</row>
    <row r="7" spans="1:22" s="394" customFormat="1" ht="24" customHeight="1">
      <c r="A7" s="1025" t="s">
        <v>467</v>
      </c>
      <c r="B7" s="1014" t="s">
        <v>694</v>
      </c>
      <c r="C7" s="1017" t="s">
        <v>695</v>
      </c>
      <c r="D7" s="1017" t="s">
        <v>471</v>
      </c>
      <c r="E7" s="1014" t="s">
        <v>472</v>
      </c>
      <c r="F7" s="1017" t="s">
        <v>473</v>
      </c>
      <c r="G7" s="1020" t="s">
        <v>696</v>
      </c>
      <c r="H7" s="1020" t="s">
        <v>697</v>
      </c>
      <c r="I7" s="966" t="s">
        <v>476</v>
      </c>
      <c r="J7" s="966"/>
      <c r="K7" s="966"/>
      <c r="L7" s="966"/>
      <c r="M7" s="966"/>
      <c r="N7" s="966"/>
      <c r="O7" s="966"/>
      <c r="P7" s="966"/>
      <c r="Q7" s="966"/>
      <c r="R7" s="966"/>
      <c r="S7" s="966"/>
      <c r="T7" s="966"/>
      <c r="U7" s="966"/>
      <c r="V7" s="966"/>
    </row>
    <row r="8" spans="1:22" s="397" customFormat="1" ht="25.5" customHeight="1">
      <c r="A8" s="1026"/>
      <c r="B8" s="1015"/>
      <c r="C8" s="1018"/>
      <c r="D8" s="1018"/>
      <c r="E8" s="1015"/>
      <c r="F8" s="1018"/>
      <c r="G8" s="1020"/>
      <c r="H8" s="1020"/>
      <c r="I8" s="966"/>
      <c r="J8" s="966"/>
      <c r="K8" s="966"/>
      <c r="L8" s="966"/>
      <c r="M8" s="966"/>
      <c r="N8" s="966"/>
      <c r="O8" s="966"/>
      <c r="P8" s="966"/>
      <c r="Q8" s="966"/>
      <c r="R8" s="966"/>
      <c r="S8" s="966"/>
      <c r="T8" s="966"/>
      <c r="U8" s="966"/>
      <c r="V8" s="966"/>
    </row>
    <row r="9" spans="1:22" s="397" customFormat="1" ht="15.75" customHeight="1">
      <c r="A9" s="1026"/>
      <c r="B9" s="1015"/>
      <c r="C9" s="1018"/>
      <c r="D9" s="1018"/>
      <c r="E9" s="1015"/>
      <c r="F9" s="1018"/>
      <c r="G9" s="398" t="s">
        <v>477</v>
      </c>
      <c r="H9" s="398" t="s">
        <v>477</v>
      </c>
      <c r="I9" s="966" t="s">
        <v>478</v>
      </c>
      <c r="J9" s="1028" t="s">
        <v>479</v>
      </c>
      <c r="K9" s="1028"/>
      <c r="L9" s="1028"/>
      <c r="M9" s="1022" t="s">
        <v>480</v>
      </c>
      <c r="N9" s="1028" t="s">
        <v>698</v>
      </c>
      <c r="O9" s="1028"/>
      <c r="P9" s="1028"/>
      <c r="Q9" s="1028"/>
      <c r="R9" s="1028"/>
      <c r="S9" s="1028"/>
      <c r="T9" s="1028"/>
      <c r="U9" s="1028"/>
      <c r="V9" s="1028"/>
    </row>
    <row r="10" spans="1:22" s="397" customFormat="1" ht="12.75" customHeight="1">
      <c r="A10" s="1026"/>
      <c r="B10" s="1015"/>
      <c r="C10" s="1018"/>
      <c r="D10" s="1018"/>
      <c r="E10" s="1015"/>
      <c r="F10" s="1018"/>
      <c r="G10" s="398" t="s">
        <v>482</v>
      </c>
      <c r="H10" s="398" t="s">
        <v>482</v>
      </c>
      <c r="I10" s="966"/>
      <c r="J10" s="1028"/>
      <c r="K10" s="1028"/>
      <c r="L10" s="1028"/>
      <c r="M10" s="1022"/>
      <c r="N10" s="1010" t="s">
        <v>483</v>
      </c>
      <c r="O10" s="1010"/>
      <c r="P10" s="1010"/>
      <c r="Q10" s="1010" t="s">
        <v>484</v>
      </c>
      <c r="R10" s="1010"/>
      <c r="S10" s="1010"/>
      <c r="T10" s="1022" t="s">
        <v>699</v>
      </c>
      <c r="U10" s="1022"/>
      <c r="V10" s="1022"/>
    </row>
    <row r="11" spans="1:22" s="397" customFormat="1" ht="14.25" customHeight="1">
      <c r="A11" s="1026"/>
      <c r="B11" s="1015"/>
      <c r="C11" s="1018"/>
      <c r="D11" s="1018"/>
      <c r="E11" s="1015"/>
      <c r="F11" s="1018"/>
      <c r="G11" s="398" t="s">
        <v>486</v>
      </c>
      <c r="H11" s="398" t="s">
        <v>486</v>
      </c>
      <c r="I11" s="966"/>
      <c r="J11" s="1010" t="s">
        <v>73</v>
      </c>
      <c r="K11" s="1010" t="s">
        <v>487</v>
      </c>
      <c r="L11" s="1010" t="s">
        <v>488</v>
      </c>
      <c r="M11" s="1022"/>
      <c r="N11" s="1010" t="s">
        <v>73</v>
      </c>
      <c r="O11" s="1010" t="s">
        <v>489</v>
      </c>
      <c r="P11" s="1013" t="s">
        <v>488</v>
      </c>
      <c r="Q11" s="1010" t="s">
        <v>73</v>
      </c>
      <c r="R11" s="1010" t="s">
        <v>489</v>
      </c>
      <c r="S11" s="1023" t="s">
        <v>488</v>
      </c>
      <c r="T11" s="1022" t="s">
        <v>490</v>
      </c>
      <c r="U11" s="1010" t="s">
        <v>489</v>
      </c>
      <c r="V11" s="1023" t="s">
        <v>488</v>
      </c>
    </row>
    <row r="12" spans="1:22" s="397" customFormat="1" ht="16.5" customHeight="1">
      <c r="A12" s="1027"/>
      <c r="B12" s="1016"/>
      <c r="C12" s="1019"/>
      <c r="D12" s="1019"/>
      <c r="E12" s="1016"/>
      <c r="F12" s="1019"/>
      <c r="G12" s="398" t="s">
        <v>699</v>
      </c>
      <c r="H12" s="398" t="s">
        <v>699</v>
      </c>
      <c r="I12" s="966"/>
      <c r="J12" s="1010"/>
      <c r="K12" s="1010"/>
      <c r="L12" s="1010"/>
      <c r="M12" s="1022"/>
      <c r="N12" s="1010"/>
      <c r="O12" s="1010"/>
      <c r="P12" s="1013"/>
      <c r="Q12" s="1010"/>
      <c r="R12" s="1010"/>
      <c r="S12" s="1023"/>
      <c r="T12" s="1022"/>
      <c r="U12" s="1010"/>
      <c r="V12" s="1023"/>
    </row>
    <row r="13" spans="1:22" s="400" customFormat="1" ht="12.75" customHeight="1">
      <c r="A13" s="399">
        <v>1</v>
      </c>
      <c r="B13" s="399">
        <v>2</v>
      </c>
      <c r="C13" s="399">
        <v>3</v>
      </c>
      <c r="D13" s="399">
        <v>4</v>
      </c>
      <c r="E13" s="399">
        <v>5</v>
      </c>
      <c r="F13" s="399">
        <v>6</v>
      </c>
      <c r="G13" s="399">
        <v>7</v>
      </c>
      <c r="H13" s="399">
        <v>8</v>
      </c>
      <c r="I13" s="399" t="s">
        <v>492</v>
      </c>
      <c r="J13" s="399" t="s">
        <v>493</v>
      </c>
      <c r="K13" s="399">
        <v>11</v>
      </c>
      <c r="L13" s="399">
        <v>12</v>
      </c>
      <c r="M13" s="399" t="s">
        <v>494</v>
      </c>
      <c r="N13" s="399" t="s">
        <v>495</v>
      </c>
      <c r="O13" s="399">
        <v>15</v>
      </c>
      <c r="P13" s="399">
        <v>16</v>
      </c>
      <c r="Q13" s="399" t="s">
        <v>496</v>
      </c>
      <c r="R13" s="399">
        <v>18</v>
      </c>
      <c r="S13" s="399">
        <v>19</v>
      </c>
      <c r="T13" s="399" t="s">
        <v>497</v>
      </c>
      <c r="U13" s="399">
        <v>21</v>
      </c>
      <c r="V13" s="399">
        <v>22</v>
      </c>
    </row>
    <row r="14" spans="1:22" s="400" customFormat="1" ht="3.75" customHeight="1">
      <c r="A14" s="1011"/>
      <c r="B14" s="1011"/>
      <c r="C14" s="1011"/>
      <c r="D14" s="1011"/>
      <c r="E14" s="1011"/>
      <c r="F14" s="1011"/>
      <c r="G14" s="1011"/>
      <c r="H14" s="1011"/>
      <c r="I14" s="1011"/>
      <c r="J14" s="1011"/>
      <c r="K14" s="1011"/>
      <c r="L14" s="1011"/>
      <c r="M14" s="1011"/>
      <c r="N14" s="1011"/>
      <c r="O14" s="1011"/>
      <c r="P14" s="1011"/>
      <c r="Q14" s="1011"/>
      <c r="R14" s="1011"/>
      <c r="S14" s="1011"/>
      <c r="T14" s="1011"/>
      <c r="U14" s="1011"/>
      <c r="V14" s="1011"/>
    </row>
    <row r="15" spans="1:23" s="400" customFormat="1" ht="21.75" customHeight="1">
      <c r="A15" s="1012" t="s">
        <v>700</v>
      </c>
      <c r="B15" s="1012"/>
      <c r="C15" s="1012"/>
      <c r="D15" s="1012"/>
      <c r="E15" s="1012"/>
      <c r="F15" s="1012"/>
      <c r="G15" s="1012"/>
      <c r="H15" s="1012"/>
      <c r="I15" s="1012"/>
      <c r="J15" s="1012"/>
      <c r="K15" s="1012"/>
      <c r="L15" s="1012"/>
      <c r="M15" s="1012"/>
      <c r="N15" s="1012"/>
      <c r="O15" s="1012"/>
      <c r="P15" s="1012"/>
      <c r="Q15" s="1012"/>
      <c r="R15" s="1012"/>
      <c r="S15" s="1012"/>
      <c r="T15" s="1012"/>
      <c r="U15" s="1012"/>
      <c r="V15" s="1012"/>
      <c r="W15" s="401"/>
    </row>
    <row r="16" spans="1:23" s="400" customFormat="1" ht="4.5" customHeight="1">
      <c r="A16" s="1009"/>
      <c r="B16" s="1009"/>
      <c r="C16" s="1009"/>
      <c r="D16" s="1009"/>
      <c r="E16" s="1009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402"/>
    </row>
    <row r="17" spans="1:22" s="419" customFormat="1" ht="15" customHeight="1">
      <c r="A17" s="968">
        <v>1</v>
      </c>
      <c r="B17" s="968" t="s">
        <v>701</v>
      </c>
      <c r="C17" s="1045" t="s">
        <v>702</v>
      </c>
      <c r="D17" s="972" t="s">
        <v>502</v>
      </c>
      <c r="E17" s="1044" t="s">
        <v>703</v>
      </c>
      <c r="F17" s="968" t="s">
        <v>704</v>
      </c>
      <c r="G17" s="418">
        <f>G18+G19+G20+G21</f>
        <v>8857109</v>
      </c>
      <c r="H17" s="418">
        <f>H18+H19+H20+H21</f>
        <v>5957109</v>
      </c>
      <c r="I17" s="1039">
        <f>J17+M17</f>
        <v>1500000</v>
      </c>
      <c r="J17" s="1039">
        <f>K17+L17</f>
        <v>1275000</v>
      </c>
      <c r="K17" s="1040">
        <v>1275000</v>
      </c>
      <c r="L17" s="1040">
        <v>0</v>
      </c>
      <c r="M17" s="1039">
        <f>N17+Q17+T17</f>
        <v>225000</v>
      </c>
      <c r="N17" s="1039">
        <f>O17+P17</f>
        <v>225000</v>
      </c>
      <c r="O17" s="1040">
        <v>225000</v>
      </c>
      <c r="P17" s="1040">
        <v>0</v>
      </c>
      <c r="Q17" s="1039">
        <f>R17+S17</f>
        <v>0</v>
      </c>
      <c r="R17" s="1040">
        <v>0</v>
      </c>
      <c r="S17" s="1040">
        <v>0</v>
      </c>
      <c r="T17" s="1039">
        <f>U17+V17</f>
        <v>0</v>
      </c>
      <c r="U17" s="1040">
        <v>0</v>
      </c>
      <c r="V17" s="1040">
        <v>0</v>
      </c>
    </row>
    <row r="18" spans="1:22" s="419" customFormat="1" ht="15">
      <c r="A18" s="968"/>
      <c r="B18" s="968"/>
      <c r="C18" s="1046"/>
      <c r="D18" s="972"/>
      <c r="E18" s="1044"/>
      <c r="F18" s="968"/>
      <c r="G18" s="418">
        <v>7528510</v>
      </c>
      <c r="H18" s="418">
        <v>5063510</v>
      </c>
      <c r="I18" s="1039"/>
      <c r="J18" s="1039"/>
      <c r="K18" s="1040"/>
      <c r="L18" s="1040"/>
      <c r="M18" s="1039"/>
      <c r="N18" s="1039"/>
      <c r="O18" s="1040"/>
      <c r="P18" s="1040"/>
      <c r="Q18" s="1039"/>
      <c r="R18" s="1040"/>
      <c r="S18" s="1040"/>
      <c r="T18" s="1039"/>
      <c r="U18" s="1040"/>
      <c r="V18" s="1040"/>
    </row>
    <row r="19" spans="1:22" s="419" customFormat="1" ht="15">
      <c r="A19" s="968"/>
      <c r="B19" s="968"/>
      <c r="C19" s="1046"/>
      <c r="D19" s="972"/>
      <c r="E19" s="1044"/>
      <c r="F19" s="968"/>
      <c r="G19" s="418">
        <v>1328560</v>
      </c>
      <c r="H19" s="418">
        <v>893560</v>
      </c>
      <c r="I19" s="1039"/>
      <c r="J19" s="1039"/>
      <c r="K19" s="1040"/>
      <c r="L19" s="1040"/>
      <c r="M19" s="1039"/>
      <c r="N19" s="1039"/>
      <c r="O19" s="1040"/>
      <c r="P19" s="1040"/>
      <c r="Q19" s="1039"/>
      <c r="R19" s="1040"/>
      <c r="S19" s="1040"/>
      <c r="T19" s="1039"/>
      <c r="U19" s="1040"/>
      <c r="V19" s="1040"/>
    </row>
    <row r="20" spans="1:22" s="419" customFormat="1" ht="15">
      <c r="A20" s="968"/>
      <c r="B20" s="968"/>
      <c r="C20" s="1046"/>
      <c r="D20" s="972"/>
      <c r="E20" s="1044"/>
      <c r="F20" s="968"/>
      <c r="G20" s="418">
        <v>39</v>
      </c>
      <c r="H20" s="418">
        <v>39</v>
      </c>
      <c r="I20" s="1039"/>
      <c r="J20" s="1039"/>
      <c r="K20" s="1040"/>
      <c r="L20" s="1040"/>
      <c r="M20" s="1039"/>
      <c r="N20" s="1039"/>
      <c r="O20" s="1040"/>
      <c r="P20" s="1040"/>
      <c r="Q20" s="1039"/>
      <c r="R20" s="1040"/>
      <c r="S20" s="1040"/>
      <c r="T20" s="1039"/>
      <c r="U20" s="1040"/>
      <c r="V20" s="1040"/>
    </row>
    <row r="21" spans="1:22" s="419" customFormat="1" ht="15">
      <c r="A21" s="968"/>
      <c r="B21" s="968"/>
      <c r="C21" s="1047"/>
      <c r="D21" s="972"/>
      <c r="E21" s="1044"/>
      <c r="F21" s="968"/>
      <c r="G21" s="418">
        <v>0</v>
      </c>
      <c r="H21" s="418">
        <v>0</v>
      </c>
      <c r="I21" s="1039"/>
      <c r="J21" s="1039"/>
      <c r="K21" s="1040"/>
      <c r="L21" s="1040"/>
      <c r="M21" s="1039"/>
      <c r="N21" s="1039"/>
      <c r="O21" s="1040"/>
      <c r="P21" s="1040"/>
      <c r="Q21" s="1039"/>
      <c r="R21" s="1040"/>
      <c r="S21" s="1040"/>
      <c r="T21" s="1039"/>
      <c r="U21" s="1040"/>
      <c r="V21" s="1040"/>
    </row>
    <row r="22" spans="1:22" s="419" customFormat="1" ht="15" customHeight="1">
      <c r="A22" s="968">
        <v>2</v>
      </c>
      <c r="B22" s="973" t="s">
        <v>705</v>
      </c>
      <c r="C22" s="1048" t="s">
        <v>706</v>
      </c>
      <c r="D22" s="972" t="s">
        <v>707</v>
      </c>
      <c r="E22" s="1044" t="s">
        <v>617</v>
      </c>
      <c r="F22" s="968" t="s">
        <v>507</v>
      </c>
      <c r="G22" s="418">
        <f>G23+G24+G25+G26</f>
        <v>814907</v>
      </c>
      <c r="H22" s="418">
        <f>H23+H24+H25+H26</f>
        <v>292462</v>
      </c>
      <c r="I22" s="1039">
        <f>J22+M22</f>
        <v>350942</v>
      </c>
      <c r="J22" s="1039">
        <f>K22+L22</f>
        <v>288116</v>
      </c>
      <c r="K22" s="1040">
        <v>288116</v>
      </c>
      <c r="L22" s="1040">
        <v>0</v>
      </c>
      <c r="M22" s="1039">
        <f>N22+Q22+T22</f>
        <v>62826</v>
      </c>
      <c r="N22" s="1039">
        <f>O22+P22</f>
        <v>35319</v>
      </c>
      <c r="O22" s="1040">
        <v>35319</v>
      </c>
      <c r="P22" s="1040">
        <v>0</v>
      </c>
      <c r="Q22" s="1039">
        <f>R22+S22</f>
        <v>27507</v>
      </c>
      <c r="R22" s="1040">
        <v>27507</v>
      </c>
      <c r="S22" s="1040">
        <v>0</v>
      </c>
      <c r="T22" s="1039">
        <f>U22+V22</f>
        <v>0</v>
      </c>
      <c r="U22" s="1040">
        <v>0</v>
      </c>
      <c r="V22" s="1040">
        <v>0</v>
      </c>
    </row>
    <row r="23" spans="1:22" s="419" customFormat="1" ht="15">
      <c r="A23" s="968"/>
      <c r="B23" s="974"/>
      <c r="C23" s="1048"/>
      <c r="D23" s="972"/>
      <c r="E23" s="1044"/>
      <c r="F23" s="968"/>
      <c r="G23" s="418">
        <v>677895</v>
      </c>
      <c r="H23" s="418">
        <v>249472</v>
      </c>
      <c r="I23" s="1039"/>
      <c r="J23" s="1039"/>
      <c r="K23" s="1040"/>
      <c r="L23" s="1040"/>
      <c r="M23" s="1039"/>
      <c r="N23" s="1039"/>
      <c r="O23" s="1040"/>
      <c r="P23" s="1040"/>
      <c r="Q23" s="1039"/>
      <c r="R23" s="1040"/>
      <c r="S23" s="1040"/>
      <c r="T23" s="1039"/>
      <c r="U23" s="1040"/>
      <c r="V23" s="1040"/>
    </row>
    <row r="24" spans="1:22" s="419" customFormat="1" ht="15">
      <c r="A24" s="968"/>
      <c r="B24" s="974"/>
      <c r="C24" s="1048"/>
      <c r="D24" s="972"/>
      <c r="E24" s="1044"/>
      <c r="F24" s="968"/>
      <c r="G24" s="418">
        <v>83065</v>
      </c>
      <c r="H24" s="418">
        <v>30570</v>
      </c>
      <c r="I24" s="1039"/>
      <c r="J24" s="1039"/>
      <c r="K24" s="1040"/>
      <c r="L24" s="1040"/>
      <c r="M24" s="1039"/>
      <c r="N24" s="1039"/>
      <c r="O24" s="1040"/>
      <c r="P24" s="1040"/>
      <c r="Q24" s="1039"/>
      <c r="R24" s="1040"/>
      <c r="S24" s="1040"/>
      <c r="T24" s="1039"/>
      <c r="U24" s="1040"/>
      <c r="V24" s="1040"/>
    </row>
    <row r="25" spans="1:22" s="419" customFormat="1" ht="15">
      <c r="A25" s="968"/>
      <c r="B25" s="974"/>
      <c r="C25" s="1048"/>
      <c r="D25" s="972"/>
      <c r="E25" s="1044"/>
      <c r="F25" s="968"/>
      <c r="G25" s="418">
        <v>53947</v>
      </c>
      <c r="H25" s="418">
        <v>12420</v>
      </c>
      <c r="I25" s="1039"/>
      <c r="J25" s="1039"/>
      <c r="K25" s="1040"/>
      <c r="L25" s="1040"/>
      <c r="M25" s="1039"/>
      <c r="N25" s="1039"/>
      <c r="O25" s="1040"/>
      <c r="P25" s="1040"/>
      <c r="Q25" s="1039"/>
      <c r="R25" s="1040"/>
      <c r="S25" s="1040"/>
      <c r="T25" s="1039"/>
      <c r="U25" s="1040"/>
      <c r="V25" s="1040"/>
    </row>
    <row r="26" spans="1:22" s="419" customFormat="1" ht="15">
      <c r="A26" s="968"/>
      <c r="B26" s="975"/>
      <c r="C26" s="1048"/>
      <c r="D26" s="972"/>
      <c r="E26" s="1044"/>
      <c r="F26" s="968"/>
      <c r="G26" s="418">
        <v>0</v>
      </c>
      <c r="H26" s="418">
        <v>0</v>
      </c>
      <c r="I26" s="1039"/>
      <c r="J26" s="1039"/>
      <c r="K26" s="1040"/>
      <c r="L26" s="1040"/>
      <c r="M26" s="1039"/>
      <c r="N26" s="1039"/>
      <c r="O26" s="1040"/>
      <c r="P26" s="1040"/>
      <c r="Q26" s="1039"/>
      <c r="R26" s="1040"/>
      <c r="S26" s="1040"/>
      <c r="T26" s="1039"/>
      <c r="U26" s="1040"/>
      <c r="V26" s="1040"/>
    </row>
    <row r="27" spans="1:22" s="419" customFormat="1" ht="15" customHeight="1">
      <c r="A27" s="968">
        <v>3</v>
      </c>
      <c r="B27" s="973" t="s">
        <v>708</v>
      </c>
      <c r="C27" s="1045" t="s">
        <v>709</v>
      </c>
      <c r="D27" s="972" t="s">
        <v>710</v>
      </c>
      <c r="E27" s="1044" t="s">
        <v>639</v>
      </c>
      <c r="F27" s="968" t="s">
        <v>512</v>
      </c>
      <c r="G27" s="418">
        <f>G28+G29+G30+G31</f>
        <v>5390507</v>
      </c>
      <c r="H27" s="418">
        <f>H28+H29+H30+H31</f>
        <v>637197</v>
      </c>
      <c r="I27" s="1039">
        <f>J27+M27</f>
        <v>1876000</v>
      </c>
      <c r="J27" s="1039">
        <f>K27+L27</f>
        <v>0</v>
      </c>
      <c r="K27" s="1040">
        <v>0</v>
      </c>
      <c r="L27" s="1040">
        <v>0</v>
      </c>
      <c r="M27" s="1039">
        <f>N27+Q27+T27</f>
        <v>1876000</v>
      </c>
      <c r="N27" s="1039">
        <f>O27+P27</f>
        <v>1876000</v>
      </c>
      <c r="O27" s="1040">
        <v>1876000</v>
      </c>
      <c r="P27" s="1040">
        <v>0</v>
      </c>
      <c r="Q27" s="1039">
        <f>R27+S27</f>
        <v>0</v>
      </c>
      <c r="R27" s="1040">
        <v>0</v>
      </c>
      <c r="S27" s="1040">
        <v>0</v>
      </c>
      <c r="T27" s="1039">
        <f>U27+V27</f>
        <v>0</v>
      </c>
      <c r="U27" s="1040">
        <v>0</v>
      </c>
      <c r="V27" s="1040">
        <v>0</v>
      </c>
    </row>
    <row r="28" spans="1:22" s="419" customFormat="1" ht="15">
      <c r="A28" s="968"/>
      <c r="B28" s="974"/>
      <c r="C28" s="1046"/>
      <c r="D28" s="972"/>
      <c r="E28" s="1044"/>
      <c r="F28" s="968"/>
      <c r="G28" s="418">
        <v>0</v>
      </c>
      <c r="H28" s="418">
        <v>0</v>
      </c>
      <c r="I28" s="1039"/>
      <c r="J28" s="1039"/>
      <c r="K28" s="1040"/>
      <c r="L28" s="1040"/>
      <c r="M28" s="1039"/>
      <c r="N28" s="1039"/>
      <c r="O28" s="1040"/>
      <c r="P28" s="1040"/>
      <c r="Q28" s="1039"/>
      <c r="R28" s="1040"/>
      <c r="S28" s="1040"/>
      <c r="T28" s="1039"/>
      <c r="U28" s="1040"/>
      <c r="V28" s="1040"/>
    </row>
    <row r="29" spans="1:22" s="419" customFormat="1" ht="15">
      <c r="A29" s="968"/>
      <c r="B29" s="974"/>
      <c r="C29" s="1046"/>
      <c r="D29" s="972"/>
      <c r="E29" s="1044"/>
      <c r="F29" s="968"/>
      <c r="G29" s="418">
        <v>5390507</v>
      </c>
      <c r="H29" s="418">
        <v>637197</v>
      </c>
      <c r="I29" s="1039"/>
      <c r="J29" s="1039"/>
      <c r="K29" s="1040"/>
      <c r="L29" s="1040"/>
      <c r="M29" s="1039"/>
      <c r="N29" s="1039"/>
      <c r="O29" s="1040"/>
      <c r="P29" s="1040"/>
      <c r="Q29" s="1039"/>
      <c r="R29" s="1040"/>
      <c r="S29" s="1040"/>
      <c r="T29" s="1039"/>
      <c r="U29" s="1040"/>
      <c r="V29" s="1040"/>
    </row>
    <row r="30" spans="1:22" s="419" customFormat="1" ht="15">
      <c r="A30" s="968"/>
      <c r="B30" s="974"/>
      <c r="C30" s="1046"/>
      <c r="D30" s="972"/>
      <c r="E30" s="1044"/>
      <c r="F30" s="968"/>
      <c r="G30" s="418">
        <v>0</v>
      </c>
      <c r="H30" s="418">
        <v>0</v>
      </c>
      <c r="I30" s="1039"/>
      <c r="J30" s="1039"/>
      <c r="K30" s="1040"/>
      <c r="L30" s="1040"/>
      <c r="M30" s="1039"/>
      <c r="N30" s="1039"/>
      <c r="O30" s="1040"/>
      <c r="P30" s="1040"/>
      <c r="Q30" s="1039"/>
      <c r="R30" s="1040"/>
      <c r="S30" s="1040"/>
      <c r="T30" s="1039"/>
      <c r="U30" s="1040"/>
      <c r="V30" s="1040"/>
    </row>
    <row r="31" spans="1:22" s="419" customFormat="1" ht="15">
      <c r="A31" s="968"/>
      <c r="B31" s="975"/>
      <c r="C31" s="1047"/>
      <c r="D31" s="972"/>
      <c r="E31" s="1044"/>
      <c r="F31" s="968"/>
      <c r="G31" s="418">
        <v>0</v>
      </c>
      <c r="H31" s="418">
        <v>0</v>
      </c>
      <c r="I31" s="1039"/>
      <c r="J31" s="1039"/>
      <c r="K31" s="1040"/>
      <c r="L31" s="1040"/>
      <c r="M31" s="1039"/>
      <c r="N31" s="1039"/>
      <c r="O31" s="1040"/>
      <c r="P31" s="1040"/>
      <c r="Q31" s="1039"/>
      <c r="R31" s="1040"/>
      <c r="S31" s="1040"/>
      <c r="T31" s="1039"/>
      <c r="U31" s="1040"/>
      <c r="V31" s="1040"/>
    </row>
    <row r="32" spans="1:22" s="419" customFormat="1" ht="13.5" customHeight="1">
      <c r="A32" s="968">
        <v>4</v>
      </c>
      <c r="B32" s="973" t="s">
        <v>711</v>
      </c>
      <c r="C32" s="1045" t="s">
        <v>712</v>
      </c>
      <c r="D32" s="972" t="s">
        <v>713</v>
      </c>
      <c r="E32" s="1044" t="s">
        <v>599</v>
      </c>
      <c r="F32" s="968" t="s">
        <v>538</v>
      </c>
      <c r="G32" s="418">
        <f>G34+G33+G35+G36</f>
        <v>11977480</v>
      </c>
      <c r="H32" s="418">
        <f>H34+H33+H35+H36</f>
        <v>3531554</v>
      </c>
      <c r="I32" s="1039">
        <f>J32+M32</f>
        <v>4205092</v>
      </c>
      <c r="J32" s="1039">
        <f>K32+L32</f>
        <v>3544050</v>
      </c>
      <c r="K32" s="1040">
        <v>3544050</v>
      </c>
      <c r="L32" s="1040">
        <v>0</v>
      </c>
      <c r="M32" s="1039">
        <f>N32+Q32+T32</f>
        <v>661042</v>
      </c>
      <c r="N32" s="1039">
        <f>O32+P32</f>
        <v>661042</v>
      </c>
      <c r="O32" s="1040">
        <v>661042</v>
      </c>
      <c r="P32" s="1040">
        <v>0</v>
      </c>
      <c r="Q32" s="1039">
        <f>R32+S32</f>
        <v>0</v>
      </c>
      <c r="R32" s="1040">
        <v>0</v>
      </c>
      <c r="S32" s="1040">
        <v>0</v>
      </c>
      <c r="T32" s="1039">
        <f>U32+V32</f>
        <v>0</v>
      </c>
      <c r="U32" s="1040">
        <v>0</v>
      </c>
      <c r="V32" s="1040">
        <v>0</v>
      </c>
    </row>
    <row r="33" spans="1:22" s="419" customFormat="1" ht="13.5" customHeight="1">
      <c r="A33" s="968"/>
      <c r="B33" s="974"/>
      <c r="C33" s="1046"/>
      <c r="D33" s="972"/>
      <c r="E33" s="1044"/>
      <c r="F33" s="968"/>
      <c r="G33" s="418">
        <v>10094620</v>
      </c>
      <c r="H33" s="418">
        <v>2976392</v>
      </c>
      <c r="I33" s="1039"/>
      <c r="J33" s="1039"/>
      <c r="K33" s="1040"/>
      <c r="L33" s="1040"/>
      <c r="M33" s="1039"/>
      <c r="N33" s="1039"/>
      <c r="O33" s="1040"/>
      <c r="P33" s="1040"/>
      <c r="Q33" s="1039"/>
      <c r="R33" s="1040"/>
      <c r="S33" s="1040"/>
      <c r="T33" s="1039"/>
      <c r="U33" s="1040"/>
      <c r="V33" s="1040"/>
    </row>
    <row r="34" spans="1:22" s="419" customFormat="1" ht="13.5" customHeight="1">
      <c r="A34" s="968"/>
      <c r="B34" s="974"/>
      <c r="C34" s="1046"/>
      <c r="D34" s="972"/>
      <c r="E34" s="1044"/>
      <c r="F34" s="968"/>
      <c r="G34" s="418">
        <v>1882860</v>
      </c>
      <c r="H34" s="418">
        <v>555162</v>
      </c>
      <c r="I34" s="1039"/>
      <c r="J34" s="1039"/>
      <c r="K34" s="1040"/>
      <c r="L34" s="1040"/>
      <c r="M34" s="1039"/>
      <c r="N34" s="1039"/>
      <c r="O34" s="1040"/>
      <c r="P34" s="1040"/>
      <c r="Q34" s="1039"/>
      <c r="R34" s="1040"/>
      <c r="S34" s="1040"/>
      <c r="T34" s="1039"/>
      <c r="U34" s="1040"/>
      <c r="V34" s="1040"/>
    </row>
    <row r="35" spans="1:22" s="419" customFormat="1" ht="13.5" customHeight="1">
      <c r="A35" s="968"/>
      <c r="B35" s="974"/>
      <c r="C35" s="1046"/>
      <c r="D35" s="972"/>
      <c r="E35" s="1044"/>
      <c r="F35" s="968"/>
      <c r="G35" s="418">
        <v>0</v>
      </c>
      <c r="H35" s="418">
        <v>0</v>
      </c>
      <c r="I35" s="1039"/>
      <c r="J35" s="1039"/>
      <c r="K35" s="1040"/>
      <c r="L35" s="1040"/>
      <c r="M35" s="1039"/>
      <c r="N35" s="1039"/>
      <c r="O35" s="1040"/>
      <c r="P35" s="1040"/>
      <c r="Q35" s="1039"/>
      <c r="R35" s="1040"/>
      <c r="S35" s="1040"/>
      <c r="T35" s="1039"/>
      <c r="U35" s="1040"/>
      <c r="V35" s="1040"/>
    </row>
    <row r="36" spans="1:22" s="419" customFormat="1" ht="13.5" customHeight="1">
      <c r="A36" s="968"/>
      <c r="B36" s="975"/>
      <c r="C36" s="1047"/>
      <c r="D36" s="972"/>
      <c r="E36" s="1044"/>
      <c r="F36" s="968"/>
      <c r="G36" s="418">
        <v>0</v>
      </c>
      <c r="H36" s="418">
        <v>0</v>
      </c>
      <c r="I36" s="1039"/>
      <c r="J36" s="1039"/>
      <c r="K36" s="1040"/>
      <c r="L36" s="1040"/>
      <c r="M36" s="1039"/>
      <c r="N36" s="1039"/>
      <c r="O36" s="1040"/>
      <c r="P36" s="1040"/>
      <c r="Q36" s="1039"/>
      <c r="R36" s="1040"/>
      <c r="S36" s="1040"/>
      <c r="T36" s="1039"/>
      <c r="U36" s="1040"/>
      <c r="V36" s="1040"/>
    </row>
    <row r="37" spans="1:22" s="419" customFormat="1" ht="15" customHeight="1">
      <c r="A37" s="968">
        <v>5</v>
      </c>
      <c r="B37" s="973" t="s">
        <v>714</v>
      </c>
      <c r="C37" s="1045" t="s">
        <v>715</v>
      </c>
      <c r="D37" s="972" t="s">
        <v>713</v>
      </c>
      <c r="E37" s="1044" t="s">
        <v>716</v>
      </c>
      <c r="F37" s="968" t="s">
        <v>524</v>
      </c>
      <c r="G37" s="418">
        <f>G39+G38+G40+G41</f>
        <v>92552</v>
      </c>
      <c r="H37" s="418">
        <f>H39+H38+H40+H41</f>
        <v>56550</v>
      </c>
      <c r="I37" s="1039">
        <f>J37+M37</f>
        <v>36002</v>
      </c>
      <c r="J37" s="1039">
        <f>K37+L37</f>
        <v>33416</v>
      </c>
      <c r="K37" s="1040">
        <v>33416</v>
      </c>
      <c r="L37" s="1040">
        <v>0</v>
      </c>
      <c r="M37" s="1039">
        <f>N37+Q37+T37</f>
        <v>2586</v>
      </c>
      <c r="N37" s="1039">
        <f>O37+P37</f>
        <v>2586</v>
      </c>
      <c r="O37" s="1040">
        <v>2586</v>
      </c>
      <c r="P37" s="1040">
        <v>0</v>
      </c>
      <c r="Q37" s="1039">
        <f>R37+S37</f>
        <v>0</v>
      </c>
      <c r="R37" s="1040">
        <v>0</v>
      </c>
      <c r="S37" s="1040">
        <v>0</v>
      </c>
      <c r="T37" s="1039">
        <f>U37+V37</f>
        <v>0</v>
      </c>
      <c r="U37" s="1040">
        <v>0</v>
      </c>
      <c r="V37" s="1040">
        <v>0</v>
      </c>
    </row>
    <row r="38" spans="1:22" s="419" customFormat="1" ht="15">
      <c r="A38" s="968"/>
      <c r="B38" s="974"/>
      <c r="C38" s="1046"/>
      <c r="D38" s="972"/>
      <c r="E38" s="1044"/>
      <c r="F38" s="968"/>
      <c r="G38" s="418">
        <v>89966</v>
      </c>
      <c r="H38" s="418">
        <v>56550</v>
      </c>
      <c r="I38" s="1039"/>
      <c r="J38" s="1039"/>
      <c r="K38" s="1040"/>
      <c r="L38" s="1040"/>
      <c r="M38" s="1039"/>
      <c r="N38" s="1039"/>
      <c r="O38" s="1040"/>
      <c r="P38" s="1040"/>
      <c r="Q38" s="1039"/>
      <c r="R38" s="1040"/>
      <c r="S38" s="1040"/>
      <c r="T38" s="1039"/>
      <c r="U38" s="1040"/>
      <c r="V38" s="1040"/>
    </row>
    <row r="39" spans="1:22" s="419" customFormat="1" ht="15">
      <c r="A39" s="968"/>
      <c r="B39" s="974"/>
      <c r="C39" s="1046"/>
      <c r="D39" s="972"/>
      <c r="E39" s="1044"/>
      <c r="F39" s="968"/>
      <c r="G39" s="418">
        <v>2586</v>
      </c>
      <c r="H39" s="418">
        <v>0</v>
      </c>
      <c r="I39" s="1039"/>
      <c r="J39" s="1039"/>
      <c r="K39" s="1040"/>
      <c r="L39" s="1040"/>
      <c r="M39" s="1039"/>
      <c r="N39" s="1039"/>
      <c r="O39" s="1040"/>
      <c r="P39" s="1040"/>
      <c r="Q39" s="1039"/>
      <c r="R39" s="1040"/>
      <c r="S39" s="1040"/>
      <c r="T39" s="1039"/>
      <c r="U39" s="1040"/>
      <c r="V39" s="1040"/>
    </row>
    <row r="40" spans="1:22" s="419" customFormat="1" ht="15">
      <c r="A40" s="968"/>
      <c r="B40" s="974"/>
      <c r="C40" s="1046"/>
      <c r="D40" s="972"/>
      <c r="E40" s="1044"/>
      <c r="F40" s="968"/>
      <c r="G40" s="418">
        <v>0</v>
      </c>
      <c r="H40" s="418">
        <v>0</v>
      </c>
      <c r="I40" s="1039"/>
      <c r="J40" s="1039"/>
      <c r="K40" s="1040"/>
      <c r="L40" s="1040"/>
      <c r="M40" s="1039"/>
      <c r="N40" s="1039"/>
      <c r="O40" s="1040"/>
      <c r="P40" s="1040"/>
      <c r="Q40" s="1039"/>
      <c r="R40" s="1040"/>
      <c r="S40" s="1040"/>
      <c r="T40" s="1039"/>
      <c r="U40" s="1040"/>
      <c r="V40" s="1040"/>
    </row>
    <row r="41" spans="1:22" s="419" customFormat="1" ht="15">
      <c r="A41" s="968"/>
      <c r="B41" s="975"/>
      <c r="C41" s="1047"/>
      <c r="D41" s="972"/>
      <c r="E41" s="1044"/>
      <c r="F41" s="968"/>
      <c r="G41" s="418">
        <v>0</v>
      </c>
      <c r="H41" s="418">
        <v>0</v>
      </c>
      <c r="I41" s="1039"/>
      <c r="J41" s="1039"/>
      <c r="K41" s="1040"/>
      <c r="L41" s="1040"/>
      <c r="M41" s="1039"/>
      <c r="N41" s="1039"/>
      <c r="O41" s="1040"/>
      <c r="P41" s="1040"/>
      <c r="Q41" s="1039"/>
      <c r="R41" s="1040"/>
      <c r="S41" s="1040"/>
      <c r="T41" s="1039"/>
      <c r="U41" s="1040"/>
      <c r="V41" s="1040"/>
    </row>
    <row r="42" spans="1:22" s="419" customFormat="1" ht="15" customHeight="1">
      <c r="A42" s="968">
        <v>6</v>
      </c>
      <c r="B42" s="972" t="s">
        <v>717</v>
      </c>
      <c r="C42" s="1045" t="s">
        <v>718</v>
      </c>
      <c r="D42" s="972" t="s">
        <v>710</v>
      </c>
      <c r="E42" s="1044" t="s">
        <v>639</v>
      </c>
      <c r="F42" s="968" t="s">
        <v>719</v>
      </c>
      <c r="G42" s="418">
        <f>G43+G44+G45+G46</f>
        <v>14389829</v>
      </c>
      <c r="H42" s="418">
        <f>H43+H44+H45+H46</f>
        <v>8424669</v>
      </c>
      <c r="I42" s="1039">
        <f>J42+M42</f>
        <v>2960132</v>
      </c>
      <c r="J42" s="1039">
        <f>K42+L42</f>
        <v>2494801</v>
      </c>
      <c r="K42" s="1040">
        <v>2474801</v>
      </c>
      <c r="L42" s="1040">
        <v>20000</v>
      </c>
      <c r="M42" s="1039">
        <f>N42+Q42+T42</f>
        <v>465331</v>
      </c>
      <c r="N42" s="1039">
        <f>O42+P42</f>
        <v>0</v>
      </c>
      <c r="O42" s="1040">
        <v>0</v>
      </c>
      <c r="P42" s="1040">
        <v>0</v>
      </c>
      <c r="Q42" s="1039">
        <f>R42+S42</f>
        <v>465331</v>
      </c>
      <c r="R42" s="1040">
        <v>461601</v>
      </c>
      <c r="S42" s="1040">
        <v>3730</v>
      </c>
      <c r="T42" s="1039">
        <f>U42+V42</f>
        <v>0</v>
      </c>
      <c r="U42" s="1040">
        <v>0</v>
      </c>
      <c r="V42" s="1040">
        <v>0</v>
      </c>
    </row>
    <row r="43" spans="1:22" s="419" customFormat="1" ht="15">
      <c r="A43" s="968"/>
      <c r="B43" s="972"/>
      <c r="C43" s="1046"/>
      <c r="D43" s="972"/>
      <c r="E43" s="1044"/>
      <c r="F43" s="968"/>
      <c r="G43" s="418">
        <v>12127748</v>
      </c>
      <c r="H43" s="418">
        <v>7100310</v>
      </c>
      <c r="I43" s="1039"/>
      <c r="J43" s="1039"/>
      <c r="K43" s="1040"/>
      <c r="L43" s="1040"/>
      <c r="M43" s="1039"/>
      <c r="N43" s="1039"/>
      <c r="O43" s="1040"/>
      <c r="P43" s="1040"/>
      <c r="Q43" s="1039"/>
      <c r="R43" s="1040"/>
      <c r="S43" s="1040"/>
      <c r="T43" s="1039"/>
      <c r="U43" s="1040"/>
      <c r="V43" s="1040"/>
    </row>
    <row r="44" spans="1:22" s="419" customFormat="1" ht="15">
      <c r="A44" s="968"/>
      <c r="B44" s="972"/>
      <c r="C44" s="1046"/>
      <c r="D44" s="972"/>
      <c r="E44" s="1044"/>
      <c r="F44" s="968"/>
      <c r="G44" s="418">
        <v>0</v>
      </c>
      <c r="H44" s="418">
        <v>0</v>
      </c>
      <c r="I44" s="1039"/>
      <c r="J44" s="1039"/>
      <c r="K44" s="1040"/>
      <c r="L44" s="1040"/>
      <c r="M44" s="1039"/>
      <c r="N44" s="1039"/>
      <c r="O44" s="1040"/>
      <c r="P44" s="1040"/>
      <c r="Q44" s="1039"/>
      <c r="R44" s="1040"/>
      <c r="S44" s="1040"/>
      <c r="T44" s="1039"/>
      <c r="U44" s="1040"/>
      <c r="V44" s="1040"/>
    </row>
    <row r="45" spans="1:22" s="419" customFormat="1" ht="15">
      <c r="A45" s="968"/>
      <c r="B45" s="972"/>
      <c r="C45" s="1046"/>
      <c r="D45" s="972"/>
      <c r="E45" s="1044"/>
      <c r="F45" s="968"/>
      <c r="G45" s="418">
        <v>2262081</v>
      </c>
      <c r="H45" s="418">
        <v>1324359</v>
      </c>
      <c r="I45" s="1039"/>
      <c r="J45" s="1039"/>
      <c r="K45" s="1040"/>
      <c r="L45" s="1040"/>
      <c r="M45" s="1039"/>
      <c r="N45" s="1039"/>
      <c r="O45" s="1040"/>
      <c r="P45" s="1040"/>
      <c r="Q45" s="1039"/>
      <c r="R45" s="1040"/>
      <c r="S45" s="1040"/>
      <c r="T45" s="1039"/>
      <c r="U45" s="1040"/>
      <c r="V45" s="1040"/>
    </row>
    <row r="46" spans="1:22" s="419" customFormat="1" ht="15">
      <c r="A46" s="968"/>
      <c r="B46" s="972"/>
      <c r="C46" s="1047"/>
      <c r="D46" s="972"/>
      <c r="E46" s="1044"/>
      <c r="F46" s="968"/>
      <c r="G46" s="418">
        <v>0</v>
      </c>
      <c r="H46" s="418">
        <v>0</v>
      </c>
      <c r="I46" s="1039"/>
      <c r="J46" s="1039"/>
      <c r="K46" s="1040"/>
      <c r="L46" s="1040"/>
      <c r="M46" s="1039"/>
      <c r="N46" s="1039"/>
      <c r="O46" s="1040"/>
      <c r="P46" s="1040"/>
      <c r="Q46" s="1039"/>
      <c r="R46" s="1040"/>
      <c r="S46" s="1040"/>
      <c r="T46" s="1039"/>
      <c r="U46" s="1040"/>
      <c r="V46" s="1040"/>
    </row>
    <row r="47" spans="1:22" s="419" customFormat="1" ht="14.25" customHeight="1">
      <c r="A47" s="968">
        <v>7</v>
      </c>
      <c r="B47" s="973" t="s">
        <v>720</v>
      </c>
      <c r="C47" s="1048" t="s">
        <v>721</v>
      </c>
      <c r="D47" s="972" t="s">
        <v>502</v>
      </c>
      <c r="E47" s="1044" t="s">
        <v>722</v>
      </c>
      <c r="F47" s="968" t="s">
        <v>723</v>
      </c>
      <c r="G47" s="418">
        <f>G48+G49+G50+G51</f>
        <v>32825085</v>
      </c>
      <c r="H47" s="418">
        <f>H48+H49+H50+H51</f>
        <v>12395085</v>
      </c>
      <c r="I47" s="1039">
        <f>J47+M47</f>
        <v>4200000</v>
      </c>
      <c r="J47" s="1039">
        <f>K47+L47</f>
        <v>2672000</v>
      </c>
      <c r="K47" s="1040">
        <v>2672000</v>
      </c>
      <c r="L47" s="1040">
        <v>0</v>
      </c>
      <c r="M47" s="1039">
        <f>N47+Q47+T47</f>
        <v>1528000</v>
      </c>
      <c r="N47" s="1039">
        <f>O47+P47</f>
        <v>1528000</v>
      </c>
      <c r="O47" s="1040">
        <v>1528000</v>
      </c>
      <c r="P47" s="1040">
        <v>0</v>
      </c>
      <c r="Q47" s="1039">
        <f>R47+S47</f>
        <v>0</v>
      </c>
      <c r="R47" s="1040">
        <v>0</v>
      </c>
      <c r="S47" s="1040">
        <v>0</v>
      </c>
      <c r="T47" s="1039">
        <f>U47+V47</f>
        <v>0</v>
      </c>
      <c r="U47" s="1040">
        <v>0</v>
      </c>
      <c r="V47" s="1040">
        <v>0</v>
      </c>
    </row>
    <row r="48" spans="1:22" s="419" customFormat="1" ht="14.25" customHeight="1">
      <c r="A48" s="968"/>
      <c r="B48" s="974"/>
      <c r="C48" s="1048"/>
      <c r="D48" s="972"/>
      <c r="E48" s="1044"/>
      <c r="F48" s="968"/>
      <c r="G48" s="418">
        <v>20883805</v>
      </c>
      <c r="H48" s="418">
        <v>7886805</v>
      </c>
      <c r="I48" s="1039"/>
      <c r="J48" s="1039"/>
      <c r="K48" s="1040"/>
      <c r="L48" s="1040"/>
      <c r="M48" s="1039"/>
      <c r="N48" s="1039"/>
      <c r="O48" s="1040"/>
      <c r="P48" s="1040"/>
      <c r="Q48" s="1039"/>
      <c r="R48" s="1040"/>
      <c r="S48" s="1040"/>
      <c r="T48" s="1039"/>
      <c r="U48" s="1040"/>
      <c r="V48" s="1040"/>
    </row>
    <row r="49" spans="1:22" s="419" customFormat="1" ht="14.25" customHeight="1">
      <c r="A49" s="968"/>
      <c r="B49" s="974"/>
      <c r="C49" s="1048"/>
      <c r="D49" s="972"/>
      <c r="E49" s="1044"/>
      <c r="F49" s="968"/>
      <c r="G49" s="418">
        <v>11941280</v>
      </c>
      <c r="H49" s="418">
        <v>4508280</v>
      </c>
      <c r="I49" s="1039"/>
      <c r="J49" s="1039"/>
      <c r="K49" s="1040"/>
      <c r="L49" s="1040"/>
      <c r="M49" s="1039"/>
      <c r="N49" s="1039"/>
      <c r="O49" s="1040"/>
      <c r="P49" s="1040"/>
      <c r="Q49" s="1039"/>
      <c r="R49" s="1040"/>
      <c r="S49" s="1040"/>
      <c r="T49" s="1039"/>
      <c r="U49" s="1040"/>
      <c r="V49" s="1040"/>
    </row>
    <row r="50" spans="1:22" s="419" customFormat="1" ht="14.25" customHeight="1">
      <c r="A50" s="968"/>
      <c r="B50" s="974"/>
      <c r="C50" s="1048"/>
      <c r="D50" s="972"/>
      <c r="E50" s="1044"/>
      <c r="F50" s="968"/>
      <c r="G50" s="418">
        <v>0</v>
      </c>
      <c r="H50" s="418">
        <v>0</v>
      </c>
      <c r="I50" s="1039"/>
      <c r="J50" s="1039"/>
      <c r="K50" s="1040"/>
      <c r="L50" s="1040"/>
      <c r="M50" s="1039"/>
      <c r="N50" s="1039"/>
      <c r="O50" s="1040"/>
      <c r="P50" s="1040"/>
      <c r="Q50" s="1039"/>
      <c r="R50" s="1040"/>
      <c r="S50" s="1040"/>
      <c r="T50" s="1039"/>
      <c r="U50" s="1040"/>
      <c r="V50" s="1040"/>
    </row>
    <row r="51" spans="1:22" s="419" customFormat="1" ht="14.25" customHeight="1">
      <c r="A51" s="968"/>
      <c r="B51" s="975"/>
      <c r="C51" s="1048"/>
      <c r="D51" s="972"/>
      <c r="E51" s="1044"/>
      <c r="F51" s="968"/>
      <c r="G51" s="418">
        <v>0</v>
      </c>
      <c r="H51" s="418">
        <v>0</v>
      </c>
      <c r="I51" s="1039"/>
      <c r="J51" s="1039"/>
      <c r="K51" s="1040"/>
      <c r="L51" s="1040"/>
      <c r="M51" s="1039"/>
      <c r="N51" s="1039"/>
      <c r="O51" s="1040"/>
      <c r="P51" s="1040"/>
      <c r="Q51" s="1039"/>
      <c r="R51" s="1040"/>
      <c r="S51" s="1040"/>
      <c r="T51" s="1039"/>
      <c r="U51" s="1040"/>
      <c r="V51" s="1040"/>
    </row>
    <row r="52" spans="1:22" s="419" customFormat="1" ht="13.5" customHeight="1">
      <c r="A52" s="968">
        <v>8</v>
      </c>
      <c r="B52" s="973" t="s">
        <v>720</v>
      </c>
      <c r="C52" s="1048" t="s">
        <v>724</v>
      </c>
      <c r="D52" s="972" t="s">
        <v>502</v>
      </c>
      <c r="E52" s="1044" t="s">
        <v>722</v>
      </c>
      <c r="F52" s="968" t="s">
        <v>723</v>
      </c>
      <c r="G52" s="418">
        <f>G53+G54+G55+G56</f>
        <v>900135</v>
      </c>
      <c r="H52" s="418">
        <f>H53+H54+H55+H56</f>
        <v>450135</v>
      </c>
      <c r="I52" s="1039">
        <f>J52+M52</f>
        <v>100000</v>
      </c>
      <c r="J52" s="1039">
        <f>K52+L52</f>
        <v>64000</v>
      </c>
      <c r="K52" s="1040">
        <v>64000</v>
      </c>
      <c r="L52" s="1040">
        <v>0</v>
      </c>
      <c r="M52" s="1039">
        <f>N52+Q52+T52</f>
        <v>36000</v>
      </c>
      <c r="N52" s="1039">
        <f>O52+P52</f>
        <v>36000</v>
      </c>
      <c r="O52" s="1040">
        <v>36000</v>
      </c>
      <c r="P52" s="1040">
        <v>0</v>
      </c>
      <c r="Q52" s="1039">
        <f>R52+S52</f>
        <v>0</v>
      </c>
      <c r="R52" s="1040">
        <v>0</v>
      </c>
      <c r="S52" s="1040">
        <v>0</v>
      </c>
      <c r="T52" s="1039">
        <f>U52+V52</f>
        <v>0</v>
      </c>
      <c r="U52" s="1040">
        <v>0</v>
      </c>
      <c r="V52" s="1040">
        <v>0</v>
      </c>
    </row>
    <row r="53" spans="1:22" s="419" customFormat="1" ht="13.5" customHeight="1">
      <c r="A53" s="968"/>
      <c r="B53" s="974"/>
      <c r="C53" s="1048"/>
      <c r="D53" s="972"/>
      <c r="E53" s="1044"/>
      <c r="F53" s="968"/>
      <c r="G53" s="418">
        <v>573126</v>
      </c>
      <c r="H53" s="418">
        <v>286791</v>
      </c>
      <c r="I53" s="1039"/>
      <c r="J53" s="1039"/>
      <c r="K53" s="1040"/>
      <c r="L53" s="1040"/>
      <c r="M53" s="1039"/>
      <c r="N53" s="1039"/>
      <c r="O53" s="1040"/>
      <c r="P53" s="1040"/>
      <c r="Q53" s="1039"/>
      <c r="R53" s="1040"/>
      <c r="S53" s="1040"/>
      <c r="T53" s="1039"/>
      <c r="U53" s="1040"/>
      <c r="V53" s="1040"/>
    </row>
    <row r="54" spans="1:22" s="419" customFormat="1" ht="13.5" customHeight="1">
      <c r="A54" s="968"/>
      <c r="B54" s="974"/>
      <c r="C54" s="1048"/>
      <c r="D54" s="972"/>
      <c r="E54" s="1044"/>
      <c r="F54" s="968"/>
      <c r="G54" s="418">
        <v>327009</v>
      </c>
      <c r="H54" s="418">
        <v>163344</v>
      </c>
      <c r="I54" s="1039"/>
      <c r="J54" s="1039"/>
      <c r="K54" s="1040"/>
      <c r="L54" s="1040"/>
      <c r="M54" s="1039"/>
      <c r="N54" s="1039"/>
      <c r="O54" s="1040"/>
      <c r="P54" s="1040"/>
      <c r="Q54" s="1039"/>
      <c r="R54" s="1040"/>
      <c r="S54" s="1040"/>
      <c r="T54" s="1039"/>
      <c r="U54" s="1040"/>
      <c r="V54" s="1040"/>
    </row>
    <row r="55" spans="1:22" s="419" customFormat="1" ht="13.5" customHeight="1">
      <c r="A55" s="968"/>
      <c r="B55" s="974"/>
      <c r="C55" s="1048"/>
      <c r="D55" s="972"/>
      <c r="E55" s="1044"/>
      <c r="F55" s="968"/>
      <c r="G55" s="418">
        <v>0</v>
      </c>
      <c r="H55" s="418">
        <v>0</v>
      </c>
      <c r="I55" s="1039"/>
      <c r="J55" s="1039"/>
      <c r="K55" s="1040"/>
      <c r="L55" s="1040"/>
      <c r="M55" s="1039"/>
      <c r="N55" s="1039"/>
      <c r="O55" s="1040"/>
      <c r="P55" s="1040"/>
      <c r="Q55" s="1039"/>
      <c r="R55" s="1040"/>
      <c r="S55" s="1040"/>
      <c r="T55" s="1039"/>
      <c r="U55" s="1040"/>
      <c r="V55" s="1040"/>
    </row>
    <row r="56" spans="1:22" s="419" customFormat="1" ht="13.5" customHeight="1">
      <c r="A56" s="968"/>
      <c r="B56" s="975"/>
      <c r="C56" s="1048"/>
      <c r="D56" s="972"/>
      <c r="E56" s="1044"/>
      <c r="F56" s="968"/>
      <c r="G56" s="418">
        <v>0</v>
      </c>
      <c r="H56" s="418">
        <v>0</v>
      </c>
      <c r="I56" s="1039"/>
      <c r="J56" s="1039"/>
      <c r="K56" s="1040"/>
      <c r="L56" s="1040"/>
      <c r="M56" s="1039"/>
      <c r="N56" s="1039"/>
      <c r="O56" s="1040"/>
      <c r="P56" s="1040"/>
      <c r="Q56" s="1039"/>
      <c r="R56" s="1040"/>
      <c r="S56" s="1040"/>
      <c r="T56" s="1039"/>
      <c r="U56" s="1040"/>
      <c r="V56" s="1040"/>
    </row>
    <row r="57" spans="1:22" s="419" customFormat="1" ht="15" customHeight="1">
      <c r="A57" s="968">
        <v>9</v>
      </c>
      <c r="B57" s="973" t="s">
        <v>720</v>
      </c>
      <c r="C57" s="1048" t="s">
        <v>725</v>
      </c>
      <c r="D57" s="972" t="s">
        <v>502</v>
      </c>
      <c r="E57" s="1044" t="s">
        <v>722</v>
      </c>
      <c r="F57" s="968" t="s">
        <v>723</v>
      </c>
      <c r="G57" s="418">
        <f>G58+G59+G60+G61</f>
        <v>9795910</v>
      </c>
      <c r="H57" s="418">
        <f>H58+H59+H60+H61</f>
        <v>4095910</v>
      </c>
      <c r="I57" s="1039">
        <f>J57+M57</f>
        <v>1200000</v>
      </c>
      <c r="J57" s="1039">
        <f>K57+L57</f>
        <v>764000</v>
      </c>
      <c r="K57" s="1040">
        <v>764000</v>
      </c>
      <c r="L57" s="1040">
        <v>0</v>
      </c>
      <c r="M57" s="1039">
        <f>N57+Q57+T57</f>
        <v>436000</v>
      </c>
      <c r="N57" s="1039">
        <f>O57+P57</f>
        <v>436000</v>
      </c>
      <c r="O57" s="1040">
        <v>436000</v>
      </c>
      <c r="P57" s="1040">
        <v>0</v>
      </c>
      <c r="Q57" s="1039">
        <f>R57+S57</f>
        <v>0</v>
      </c>
      <c r="R57" s="1040">
        <v>0</v>
      </c>
      <c r="S57" s="1040">
        <v>0</v>
      </c>
      <c r="T57" s="1039">
        <f>U57+V57</f>
        <v>0</v>
      </c>
      <c r="U57" s="1040">
        <v>0</v>
      </c>
      <c r="V57" s="1040">
        <v>0</v>
      </c>
    </row>
    <row r="58" spans="1:22" s="419" customFormat="1" ht="15">
      <c r="A58" s="968"/>
      <c r="B58" s="974"/>
      <c r="C58" s="1048"/>
      <c r="D58" s="972"/>
      <c r="E58" s="1044"/>
      <c r="F58" s="968"/>
      <c r="G58" s="418">
        <v>6233667</v>
      </c>
      <c r="H58" s="418">
        <v>2606667</v>
      </c>
      <c r="I58" s="1039"/>
      <c r="J58" s="1039"/>
      <c r="K58" s="1040"/>
      <c r="L58" s="1040"/>
      <c r="M58" s="1039"/>
      <c r="N58" s="1039"/>
      <c r="O58" s="1040"/>
      <c r="P58" s="1040"/>
      <c r="Q58" s="1039"/>
      <c r="R58" s="1040"/>
      <c r="S58" s="1040"/>
      <c r="T58" s="1039"/>
      <c r="U58" s="1040"/>
      <c r="V58" s="1040"/>
    </row>
    <row r="59" spans="1:22" s="419" customFormat="1" ht="15">
      <c r="A59" s="968"/>
      <c r="B59" s="974"/>
      <c r="C59" s="1048"/>
      <c r="D59" s="972"/>
      <c r="E59" s="1044"/>
      <c r="F59" s="968"/>
      <c r="G59" s="418">
        <v>3562243</v>
      </c>
      <c r="H59" s="418">
        <v>1489243</v>
      </c>
      <c r="I59" s="1039"/>
      <c r="J59" s="1039"/>
      <c r="K59" s="1040"/>
      <c r="L59" s="1040"/>
      <c r="M59" s="1039"/>
      <c r="N59" s="1039"/>
      <c r="O59" s="1040"/>
      <c r="P59" s="1040"/>
      <c r="Q59" s="1039"/>
      <c r="R59" s="1040"/>
      <c r="S59" s="1040"/>
      <c r="T59" s="1039"/>
      <c r="U59" s="1040"/>
      <c r="V59" s="1040"/>
    </row>
    <row r="60" spans="1:22" s="419" customFormat="1" ht="15">
      <c r="A60" s="968"/>
      <c r="B60" s="974"/>
      <c r="C60" s="1048"/>
      <c r="D60" s="972"/>
      <c r="E60" s="1044"/>
      <c r="F60" s="968"/>
      <c r="G60" s="418">
        <v>0</v>
      </c>
      <c r="H60" s="418">
        <v>0</v>
      </c>
      <c r="I60" s="1039"/>
      <c r="J60" s="1039"/>
      <c r="K60" s="1040"/>
      <c r="L60" s="1040"/>
      <c r="M60" s="1039"/>
      <c r="N60" s="1039"/>
      <c r="O60" s="1040"/>
      <c r="P60" s="1040"/>
      <c r="Q60" s="1039"/>
      <c r="R60" s="1040"/>
      <c r="S60" s="1040"/>
      <c r="T60" s="1039"/>
      <c r="U60" s="1040"/>
      <c r="V60" s="1040"/>
    </row>
    <row r="61" spans="1:22" s="419" customFormat="1" ht="15">
      <c r="A61" s="968"/>
      <c r="B61" s="975"/>
      <c r="C61" s="1048"/>
      <c r="D61" s="972"/>
      <c r="E61" s="1044"/>
      <c r="F61" s="968"/>
      <c r="G61" s="418">
        <v>0</v>
      </c>
      <c r="H61" s="418">
        <v>0</v>
      </c>
      <c r="I61" s="1039"/>
      <c r="J61" s="1039"/>
      <c r="K61" s="1040"/>
      <c r="L61" s="1040"/>
      <c r="M61" s="1039"/>
      <c r="N61" s="1039"/>
      <c r="O61" s="1040"/>
      <c r="P61" s="1040"/>
      <c r="Q61" s="1039"/>
      <c r="R61" s="1040"/>
      <c r="S61" s="1040"/>
      <c r="T61" s="1039"/>
      <c r="U61" s="1040"/>
      <c r="V61" s="1040"/>
    </row>
    <row r="62" spans="1:22" s="419" customFormat="1" ht="13.5" customHeight="1">
      <c r="A62" s="968">
        <v>10</v>
      </c>
      <c r="B62" s="972" t="s">
        <v>726</v>
      </c>
      <c r="C62" s="1045" t="s">
        <v>727</v>
      </c>
      <c r="D62" s="972" t="s">
        <v>502</v>
      </c>
      <c r="E62" s="1044" t="s">
        <v>728</v>
      </c>
      <c r="F62" s="968" t="s">
        <v>504</v>
      </c>
      <c r="G62" s="418">
        <f>G64+G63+G65+G66</f>
        <v>4858559</v>
      </c>
      <c r="H62" s="418">
        <f>H64+H63+H65+H66</f>
        <v>1998559</v>
      </c>
      <c r="I62" s="1039">
        <f>J62+M62</f>
        <v>640000</v>
      </c>
      <c r="J62" s="1039">
        <f>K62+L62</f>
        <v>480000</v>
      </c>
      <c r="K62" s="1040">
        <v>480000</v>
      </c>
      <c r="L62" s="1040">
        <v>0</v>
      </c>
      <c r="M62" s="1039">
        <f>N62+Q62+T62</f>
        <v>160000</v>
      </c>
      <c r="N62" s="1039">
        <f>O62+P62</f>
        <v>160000</v>
      </c>
      <c r="O62" s="1040">
        <v>160000</v>
      </c>
      <c r="P62" s="1040">
        <v>0</v>
      </c>
      <c r="Q62" s="1039">
        <f>R62+S62</f>
        <v>0</v>
      </c>
      <c r="R62" s="1040">
        <v>0</v>
      </c>
      <c r="S62" s="1040">
        <v>0</v>
      </c>
      <c r="T62" s="1039">
        <f>U62+V62</f>
        <v>0</v>
      </c>
      <c r="U62" s="1040">
        <v>0</v>
      </c>
      <c r="V62" s="1040">
        <v>0</v>
      </c>
    </row>
    <row r="63" spans="1:22" s="419" customFormat="1" ht="13.5" customHeight="1">
      <c r="A63" s="968"/>
      <c r="B63" s="972"/>
      <c r="C63" s="1046"/>
      <c r="D63" s="972"/>
      <c r="E63" s="1044"/>
      <c r="F63" s="968"/>
      <c r="G63" s="418">
        <v>3643919</v>
      </c>
      <c r="H63" s="418">
        <v>1498919</v>
      </c>
      <c r="I63" s="1039"/>
      <c r="J63" s="1039"/>
      <c r="K63" s="1040"/>
      <c r="L63" s="1040"/>
      <c r="M63" s="1039"/>
      <c r="N63" s="1039"/>
      <c r="O63" s="1040"/>
      <c r="P63" s="1040"/>
      <c r="Q63" s="1039"/>
      <c r="R63" s="1040"/>
      <c r="S63" s="1040"/>
      <c r="T63" s="1039"/>
      <c r="U63" s="1040"/>
      <c r="V63" s="1040"/>
    </row>
    <row r="64" spans="1:22" s="419" customFormat="1" ht="13.5" customHeight="1">
      <c r="A64" s="968"/>
      <c r="B64" s="972"/>
      <c r="C64" s="1046"/>
      <c r="D64" s="972"/>
      <c r="E64" s="1044"/>
      <c r="F64" s="968"/>
      <c r="G64" s="418">
        <v>1214640</v>
      </c>
      <c r="H64" s="418">
        <v>499640</v>
      </c>
      <c r="I64" s="1039"/>
      <c r="J64" s="1039"/>
      <c r="K64" s="1040"/>
      <c r="L64" s="1040"/>
      <c r="M64" s="1039"/>
      <c r="N64" s="1039"/>
      <c r="O64" s="1040"/>
      <c r="P64" s="1040"/>
      <c r="Q64" s="1039"/>
      <c r="R64" s="1040"/>
      <c r="S64" s="1040"/>
      <c r="T64" s="1039"/>
      <c r="U64" s="1040"/>
      <c r="V64" s="1040"/>
    </row>
    <row r="65" spans="1:22" s="419" customFormat="1" ht="13.5" customHeight="1">
      <c r="A65" s="968"/>
      <c r="B65" s="972"/>
      <c r="C65" s="1046"/>
      <c r="D65" s="972"/>
      <c r="E65" s="1044"/>
      <c r="F65" s="968"/>
      <c r="G65" s="418">
        <v>0</v>
      </c>
      <c r="H65" s="418">
        <v>0</v>
      </c>
      <c r="I65" s="1039"/>
      <c r="J65" s="1039"/>
      <c r="K65" s="1040"/>
      <c r="L65" s="1040"/>
      <c r="M65" s="1039"/>
      <c r="N65" s="1039"/>
      <c r="O65" s="1040"/>
      <c r="P65" s="1040"/>
      <c r="Q65" s="1039"/>
      <c r="R65" s="1040"/>
      <c r="S65" s="1040"/>
      <c r="T65" s="1039"/>
      <c r="U65" s="1040"/>
      <c r="V65" s="1040"/>
    </row>
    <row r="66" spans="1:22" s="419" customFormat="1" ht="13.5" customHeight="1">
      <c r="A66" s="968"/>
      <c r="B66" s="972"/>
      <c r="C66" s="1047"/>
      <c r="D66" s="972"/>
      <c r="E66" s="1044"/>
      <c r="F66" s="968"/>
      <c r="G66" s="418">
        <v>0</v>
      </c>
      <c r="H66" s="418">
        <v>0</v>
      </c>
      <c r="I66" s="1039"/>
      <c r="J66" s="1039"/>
      <c r="K66" s="1040"/>
      <c r="L66" s="1040"/>
      <c r="M66" s="1039"/>
      <c r="N66" s="1039"/>
      <c r="O66" s="1040"/>
      <c r="P66" s="1040"/>
      <c r="Q66" s="1039"/>
      <c r="R66" s="1040"/>
      <c r="S66" s="1040"/>
      <c r="T66" s="1039"/>
      <c r="U66" s="1040"/>
      <c r="V66" s="1040"/>
    </row>
    <row r="67" spans="1:22" s="419" customFormat="1" ht="15" customHeight="1">
      <c r="A67" s="968">
        <v>11</v>
      </c>
      <c r="B67" s="972" t="s">
        <v>729</v>
      </c>
      <c r="C67" s="1045" t="s">
        <v>730</v>
      </c>
      <c r="D67" s="972" t="s">
        <v>502</v>
      </c>
      <c r="E67" s="1044" t="s">
        <v>647</v>
      </c>
      <c r="F67" s="968" t="s">
        <v>528</v>
      </c>
      <c r="G67" s="418">
        <f>G69+G68+G70+G71</f>
        <v>4933661</v>
      </c>
      <c r="H67" s="418">
        <f>H69+H68+H70+H71</f>
        <v>2398374</v>
      </c>
      <c r="I67" s="1039">
        <f>J67+M67</f>
        <v>1437424</v>
      </c>
      <c r="J67" s="1039">
        <f>K67+L67</f>
        <v>646841</v>
      </c>
      <c r="K67" s="1040">
        <v>646841</v>
      </c>
      <c r="L67" s="1040">
        <v>0</v>
      </c>
      <c r="M67" s="1039">
        <f>N67+Q67+T67</f>
        <v>790583</v>
      </c>
      <c r="N67" s="1039">
        <f>O67+P67</f>
        <v>0</v>
      </c>
      <c r="O67" s="1040">
        <v>0</v>
      </c>
      <c r="P67" s="1040">
        <v>0</v>
      </c>
      <c r="Q67" s="1039">
        <f>R67+S67</f>
        <v>71871</v>
      </c>
      <c r="R67" s="1040">
        <v>71871</v>
      </c>
      <c r="S67" s="1040">
        <v>0</v>
      </c>
      <c r="T67" s="1039">
        <f>U67+V67</f>
        <v>718712</v>
      </c>
      <c r="U67" s="1040">
        <v>718712</v>
      </c>
      <c r="V67" s="1040">
        <v>0</v>
      </c>
    </row>
    <row r="68" spans="1:22" s="419" customFormat="1" ht="15">
      <c r="A68" s="968"/>
      <c r="B68" s="972"/>
      <c r="C68" s="1046"/>
      <c r="D68" s="972"/>
      <c r="E68" s="1044"/>
      <c r="F68" s="968"/>
      <c r="G68" s="418">
        <v>2220144</v>
      </c>
      <c r="H68" s="418">
        <v>1079265</v>
      </c>
      <c r="I68" s="1039"/>
      <c r="J68" s="1039"/>
      <c r="K68" s="1040"/>
      <c r="L68" s="1040"/>
      <c r="M68" s="1039"/>
      <c r="N68" s="1039"/>
      <c r="O68" s="1040"/>
      <c r="P68" s="1040"/>
      <c r="Q68" s="1039"/>
      <c r="R68" s="1040"/>
      <c r="S68" s="1040"/>
      <c r="T68" s="1039"/>
      <c r="U68" s="1040"/>
      <c r="V68" s="1040"/>
    </row>
    <row r="69" spans="1:22" s="419" customFormat="1" ht="15">
      <c r="A69" s="968"/>
      <c r="B69" s="972"/>
      <c r="C69" s="1046"/>
      <c r="D69" s="972"/>
      <c r="E69" s="1044"/>
      <c r="F69" s="968"/>
      <c r="G69" s="418">
        <v>0</v>
      </c>
      <c r="H69" s="418">
        <v>0</v>
      </c>
      <c r="I69" s="1039"/>
      <c r="J69" s="1039"/>
      <c r="K69" s="1040"/>
      <c r="L69" s="1040"/>
      <c r="M69" s="1039"/>
      <c r="N69" s="1039"/>
      <c r="O69" s="1040"/>
      <c r="P69" s="1040"/>
      <c r="Q69" s="1039"/>
      <c r="R69" s="1040"/>
      <c r="S69" s="1040"/>
      <c r="T69" s="1039"/>
      <c r="U69" s="1040"/>
      <c r="V69" s="1040"/>
    </row>
    <row r="70" spans="1:22" s="419" customFormat="1" ht="15">
      <c r="A70" s="968"/>
      <c r="B70" s="972"/>
      <c r="C70" s="1046"/>
      <c r="D70" s="972"/>
      <c r="E70" s="1044"/>
      <c r="F70" s="968"/>
      <c r="G70" s="418">
        <v>246687</v>
      </c>
      <c r="H70" s="418">
        <v>119924</v>
      </c>
      <c r="I70" s="1039"/>
      <c r="J70" s="1039"/>
      <c r="K70" s="1040"/>
      <c r="L70" s="1040"/>
      <c r="M70" s="1039"/>
      <c r="N70" s="1039"/>
      <c r="O70" s="1040"/>
      <c r="P70" s="1040"/>
      <c r="Q70" s="1039"/>
      <c r="R70" s="1040"/>
      <c r="S70" s="1040"/>
      <c r="T70" s="1039"/>
      <c r="U70" s="1040"/>
      <c r="V70" s="1040"/>
    </row>
    <row r="71" spans="1:22" s="419" customFormat="1" ht="15">
      <c r="A71" s="968"/>
      <c r="B71" s="972"/>
      <c r="C71" s="1047"/>
      <c r="D71" s="972"/>
      <c r="E71" s="1044"/>
      <c r="F71" s="968"/>
      <c r="G71" s="418">
        <v>2466830</v>
      </c>
      <c r="H71" s="418">
        <v>1199185</v>
      </c>
      <c r="I71" s="1039"/>
      <c r="J71" s="1039"/>
      <c r="K71" s="1040"/>
      <c r="L71" s="1040"/>
      <c r="M71" s="1039"/>
      <c r="N71" s="1039"/>
      <c r="O71" s="1040"/>
      <c r="P71" s="1040"/>
      <c r="Q71" s="1039"/>
      <c r="R71" s="1040"/>
      <c r="S71" s="1040"/>
      <c r="T71" s="1039"/>
      <c r="U71" s="1040"/>
      <c r="V71" s="1040"/>
    </row>
    <row r="72" spans="1:22" s="419" customFormat="1" ht="14.25" customHeight="1">
      <c r="A72" s="968">
        <v>12</v>
      </c>
      <c r="B72" s="972" t="s">
        <v>731</v>
      </c>
      <c r="C72" s="1045" t="s">
        <v>732</v>
      </c>
      <c r="D72" s="972" t="s">
        <v>502</v>
      </c>
      <c r="E72" s="1044" t="s">
        <v>542</v>
      </c>
      <c r="F72" s="968" t="s">
        <v>518</v>
      </c>
      <c r="G72" s="418">
        <f>G74+G73+G75+G76</f>
        <v>31626097</v>
      </c>
      <c r="H72" s="418">
        <f>H74+H73+H75+H76</f>
        <v>397450</v>
      </c>
      <c r="I72" s="1039">
        <f>J72+M72</f>
        <v>16488698</v>
      </c>
      <c r="J72" s="1039">
        <f>K72+L72</f>
        <v>11394628</v>
      </c>
      <c r="K72" s="1040">
        <v>275558</v>
      </c>
      <c r="L72" s="1040">
        <v>11119070</v>
      </c>
      <c r="M72" s="1039">
        <f>N72+Q72+T72</f>
        <v>5094070</v>
      </c>
      <c r="N72" s="1039">
        <f>O72+P72</f>
        <v>0</v>
      </c>
      <c r="O72" s="1040">
        <v>0</v>
      </c>
      <c r="P72" s="1040">
        <v>0</v>
      </c>
      <c r="Q72" s="1039">
        <f>R72+S72</f>
        <v>5094070</v>
      </c>
      <c r="R72" s="1040">
        <v>123191</v>
      </c>
      <c r="S72" s="1040">
        <v>4970879</v>
      </c>
      <c r="T72" s="1039">
        <f>U72+V72</f>
        <v>0</v>
      </c>
      <c r="U72" s="1040">
        <v>0</v>
      </c>
      <c r="V72" s="1040">
        <v>0</v>
      </c>
    </row>
    <row r="73" spans="1:22" s="419" customFormat="1" ht="14.25" customHeight="1">
      <c r="A73" s="968"/>
      <c r="B73" s="972"/>
      <c r="C73" s="1046"/>
      <c r="D73" s="972"/>
      <c r="E73" s="1044"/>
      <c r="F73" s="968"/>
      <c r="G73" s="418">
        <v>14873864</v>
      </c>
      <c r="H73" s="418">
        <v>274660</v>
      </c>
      <c r="I73" s="1039"/>
      <c r="J73" s="1039"/>
      <c r="K73" s="1040"/>
      <c r="L73" s="1040"/>
      <c r="M73" s="1039"/>
      <c r="N73" s="1039"/>
      <c r="O73" s="1040"/>
      <c r="P73" s="1040"/>
      <c r="Q73" s="1039"/>
      <c r="R73" s="1040"/>
      <c r="S73" s="1040"/>
      <c r="T73" s="1039"/>
      <c r="U73" s="1040"/>
      <c r="V73" s="1040"/>
    </row>
    <row r="74" spans="1:22" s="419" customFormat="1" ht="14.25" customHeight="1">
      <c r="A74" s="968"/>
      <c r="B74" s="972"/>
      <c r="C74" s="1046"/>
      <c r="D74" s="972"/>
      <c r="E74" s="1044"/>
      <c r="F74" s="968"/>
      <c r="G74" s="418">
        <v>0</v>
      </c>
      <c r="H74" s="418">
        <v>0</v>
      </c>
      <c r="I74" s="1039"/>
      <c r="J74" s="1039"/>
      <c r="K74" s="1040"/>
      <c r="L74" s="1040"/>
      <c r="M74" s="1039"/>
      <c r="N74" s="1039"/>
      <c r="O74" s="1040"/>
      <c r="P74" s="1040"/>
      <c r="Q74" s="1039"/>
      <c r="R74" s="1040"/>
      <c r="S74" s="1040"/>
      <c r="T74" s="1039"/>
      <c r="U74" s="1040"/>
      <c r="V74" s="1040"/>
    </row>
    <row r="75" spans="1:22" s="419" customFormat="1" ht="14.25" customHeight="1">
      <c r="A75" s="968"/>
      <c r="B75" s="972"/>
      <c r="C75" s="1046"/>
      <c r="D75" s="972"/>
      <c r="E75" s="1044"/>
      <c r="F75" s="968"/>
      <c r="G75" s="418">
        <v>16752233</v>
      </c>
      <c r="H75" s="418">
        <v>122790</v>
      </c>
      <c r="I75" s="1039"/>
      <c r="J75" s="1039"/>
      <c r="K75" s="1040"/>
      <c r="L75" s="1040"/>
      <c r="M75" s="1039"/>
      <c r="N75" s="1039"/>
      <c r="O75" s="1040"/>
      <c r="P75" s="1040"/>
      <c r="Q75" s="1039"/>
      <c r="R75" s="1040"/>
      <c r="S75" s="1040"/>
      <c r="T75" s="1039"/>
      <c r="U75" s="1040"/>
      <c r="V75" s="1040"/>
    </row>
    <row r="76" spans="1:22" s="419" customFormat="1" ht="14.25" customHeight="1">
      <c r="A76" s="968"/>
      <c r="B76" s="972"/>
      <c r="C76" s="1047"/>
      <c r="D76" s="972"/>
      <c r="E76" s="1044"/>
      <c r="F76" s="968"/>
      <c r="G76" s="418">
        <v>0</v>
      </c>
      <c r="H76" s="418">
        <v>0</v>
      </c>
      <c r="I76" s="1039"/>
      <c r="J76" s="1039"/>
      <c r="K76" s="1040"/>
      <c r="L76" s="1040"/>
      <c r="M76" s="1039"/>
      <c r="N76" s="1039"/>
      <c r="O76" s="1040"/>
      <c r="P76" s="1040"/>
      <c r="Q76" s="1039"/>
      <c r="R76" s="1040"/>
      <c r="S76" s="1040"/>
      <c r="T76" s="1039"/>
      <c r="U76" s="1040"/>
      <c r="V76" s="1040"/>
    </row>
    <row r="77" spans="1:22" s="419" customFormat="1" ht="14.25" customHeight="1">
      <c r="A77" s="968">
        <v>13</v>
      </c>
      <c r="B77" s="973" t="s">
        <v>733</v>
      </c>
      <c r="C77" s="1041" t="s">
        <v>734</v>
      </c>
      <c r="D77" s="972" t="s">
        <v>502</v>
      </c>
      <c r="E77" s="1044" t="s">
        <v>735</v>
      </c>
      <c r="F77" s="968" t="s">
        <v>560</v>
      </c>
      <c r="G77" s="418">
        <f>G78+G79+G80+G81</f>
        <v>671605</v>
      </c>
      <c r="H77" s="418">
        <f>H78+H79+H80+H81</f>
        <v>498071</v>
      </c>
      <c r="I77" s="1039">
        <f>J77+M77</f>
        <v>173534</v>
      </c>
      <c r="J77" s="1039">
        <f>K77+L77</f>
        <v>147503</v>
      </c>
      <c r="K77" s="1040">
        <v>147503</v>
      </c>
      <c r="L77" s="1040">
        <v>0</v>
      </c>
      <c r="M77" s="1039">
        <f>N77+Q77+T77</f>
        <v>26031</v>
      </c>
      <c r="N77" s="1039">
        <f>O77+P77</f>
        <v>0</v>
      </c>
      <c r="O77" s="1040">
        <v>0</v>
      </c>
      <c r="P77" s="1040">
        <v>0</v>
      </c>
      <c r="Q77" s="1039">
        <f>R77+S77</f>
        <v>26031</v>
      </c>
      <c r="R77" s="1040">
        <v>26031</v>
      </c>
      <c r="S77" s="1040">
        <v>0</v>
      </c>
      <c r="T77" s="1039">
        <f>U77+V77</f>
        <v>0</v>
      </c>
      <c r="U77" s="1040">
        <v>0</v>
      </c>
      <c r="V77" s="1040">
        <v>0</v>
      </c>
    </row>
    <row r="78" spans="1:22" s="419" customFormat="1" ht="14.25" customHeight="1">
      <c r="A78" s="968"/>
      <c r="B78" s="974"/>
      <c r="C78" s="1042"/>
      <c r="D78" s="972"/>
      <c r="E78" s="1044"/>
      <c r="F78" s="968"/>
      <c r="G78" s="418">
        <v>570761</v>
      </c>
      <c r="H78" s="418">
        <v>423258</v>
      </c>
      <c r="I78" s="1039"/>
      <c r="J78" s="1039"/>
      <c r="K78" s="1040"/>
      <c r="L78" s="1040"/>
      <c r="M78" s="1039"/>
      <c r="N78" s="1039"/>
      <c r="O78" s="1040"/>
      <c r="P78" s="1040"/>
      <c r="Q78" s="1039"/>
      <c r="R78" s="1040"/>
      <c r="S78" s="1040"/>
      <c r="T78" s="1039"/>
      <c r="U78" s="1040"/>
      <c r="V78" s="1040"/>
    </row>
    <row r="79" spans="1:22" s="419" customFormat="1" ht="14.25" customHeight="1">
      <c r="A79" s="968"/>
      <c r="B79" s="974"/>
      <c r="C79" s="1042"/>
      <c r="D79" s="972"/>
      <c r="E79" s="1044"/>
      <c r="F79" s="968"/>
      <c r="G79" s="418">
        <v>0</v>
      </c>
      <c r="H79" s="418">
        <v>0</v>
      </c>
      <c r="I79" s="1039"/>
      <c r="J79" s="1039"/>
      <c r="K79" s="1040"/>
      <c r="L79" s="1040"/>
      <c r="M79" s="1039"/>
      <c r="N79" s="1039"/>
      <c r="O79" s="1040"/>
      <c r="P79" s="1040"/>
      <c r="Q79" s="1039"/>
      <c r="R79" s="1040"/>
      <c r="S79" s="1040"/>
      <c r="T79" s="1039"/>
      <c r="U79" s="1040"/>
      <c r="V79" s="1040"/>
    </row>
    <row r="80" spans="1:22" s="419" customFormat="1" ht="14.25" customHeight="1">
      <c r="A80" s="968"/>
      <c r="B80" s="974"/>
      <c r="C80" s="1042"/>
      <c r="D80" s="972"/>
      <c r="E80" s="1044"/>
      <c r="F80" s="968"/>
      <c r="G80" s="418">
        <v>100844</v>
      </c>
      <c r="H80" s="418">
        <v>74813</v>
      </c>
      <c r="I80" s="1039"/>
      <c r="J80" s="1039"/>
      <c r="K80" s="1040"/>
      <c r="L80" s="1040"/>
      <c r="M80" s="1039"/>
      <c r="N80" s="1039"/>
      <c r="O80" s="1040"/>
      <c r="P80" s="1040"/>
      <c r="Q80" s="1039"/>
      <c r="R80" s="1040"/>
      <c r="S80" s="1040"/>
      <c r="T80" s="1039"/>
      <c r="U80" s="1040"/>
      <c r="V80" s="1040"/>
    </row>
    <row r="81" spans="1:22" s="419" customFormat="1" ht="14.25" customHeight="1">
      <c r="A81" s="968"/>
      <c r="B81" s="975"/>
      <c r="C81" s="1043"/>
      <c r="D81" s="972"/>
      <c r="E81" s="1044"/>
      <c r="F81" s="968"/>
      <c r="G81" s="418">
        <v>0</v>
      </c>
      <c r="H81" s="418">
        <v>0</v>
      </c>
      <c r="I81" s="1039"/>
      <c r="J81" s="1039"/>
      <c r="K81" s="1040"/>
      <c r="L81" s="1040"/>
      <c r="M81" s="1039"/>
      <c r="N81" s="1039"/>
      <c r="O81" s="1040"/>
      <c r="P81" s="1040"/>
      <c r="Q81" s="1039"/>
      <c r="R81" s="1040"/>
      <c r="S81" s="1040"/>
      <c r="T81" s="1039"/>
      <c r="U81" s="1040"/>
      <c r="V81" s="1040"/>
    </row>
    <row r="82" spans="1:22" s="419" customFormat="1" ht="14.25" customHeight="1">
      <c r="A82" s="968">
        <v>14</v>
      </c>
      <c r="B82" s="973" t="s">
        <v>733</v>
      </c>
      <c r="C82" s="1041" t="s">
        <v>736</v>
      </c>
      <c r="D82" s="972" t="s">
        <v>502</v>
      </c>
      <c r="E82" s="1044" t="s">
        <v>737</v>
      </c>
      <c r="F82" s="968" t="s">
        <v>560</v>
      </c>
      <c r="G82" s="418">
        <f>G83+G84+G85+G86</f>
        <v>1540066</v>
      </c>
      <c r="H82" s="418">
        <f>H83+H84+H85+H86</f>
        <v>1253519</v>
      </c>
      <c r="I82" s="1039">
        <f>J82+M82</f>
        <v>286547</v>
      </c>
      <c r="J82" s="1039">
        <f>K82+L82</f>
        <v>243567</v>
      </c>
      <c r="K82" s="1040">
        <v>243567</v>
      </c>
      <c r="L82" s="1040">
        <v>0</v>
      </c>
      <c r="M82" s="1039">
        <f>N82+Q82+T82</f>
        <v>42980</v>
      </c>
      <c r="N82" s="1039">
        <f>O82+P82</f>
        <v>0</v>
      </c>
      <c r="O82" s="1040">
        <v>0</v>
      </c>
      <c r="P82" s="1040">
        <v>0</v>
      </c>
      <c r="Q82" s="1039">
        <f>R82+S82</f>
        <v>42980</v>
      </c>
      <c r="R82" s="1040">
        <v>42980</v>
      </c>
      <c r="S82" s="1040">
        <v>0</v>
      </c>
      <c r="T82" s="1039">
        <f>U82+V82</f>
        <v>0</v>
      </c>
      <c r="U82" s="1040">
        <v>0</v>
      </c>
      <c r="V82" s="1040">
        <v>0</v>
      </c>
    </row>
    <row r="83" spans="1:22" s="419" customFormat="1" ht="14.25" customHeight="1">
      <c r="A83" s="968"/>
      <c r="B83" s="974"/>
      <c r="C83" s="1042"/>
      <c r="D83" s="972"/>
      <c r="E83" s="1044"/>
      <c r="F83" s="968"/>
      <c r="G83" s="418">
        <v>1264075</v>
      </c>
      <c r="H83" s="418">
        <v>1020508</v>
      </c>
      <c r="I83" s="1039"/>
      <c r="J83" s="1039"/>
      <c r="K83" s="1040"/>
      <c r="L83" s="1040"/>
      <c r="M83" s="1039"/>
      <c r="N83" s="1039"/>
      <c r="O83" s="1040"/>
      <c r="P83" s="1040"/>
      <c r="Q83" s="1039"/>
      <c r="R83" s="1040"/>
      <c r="S83" s="1040"/>
      <c r="T83" s="1039"/>
      <c r="U83" s="1040"/>
      <c r="V83" s="1040"/>
    </row>
    <row r="84" spans="1:22" s="419" customFormat="1" ht="14.25" customHeight="1">
      <c r="A84" s="968"/>
      <c r="B84" s="974"/>
      <c r="C84" s="1042"/>
      <c r="D84" s="972"/>
      <c r="E84" s="1044"/>
      <c r="F84" s="968"/>
      <c r="G84" s="418">
        <v>0</v>
      </c>
      <c r="H84" s="418">
        <v>0</v>
      </c>
      <c r="I84" s="1039"/>
      <c r="J84" s="1039"/>
      <c r="K84" s="1040"/>
      <c r="L84" s="1040"/>
      <c r="M84" s="1039"/>
      <c r="N84" s="1039"/>
      <c r="O84" s="1040"/>
      <c r="P84" s="1040"/>
      <c r="Q84" s="1039"/>
      <c r="R84" s="1040"/>
      <c r="S84" s="1040"/>
      <c r="T84" s="1039"/>
      <c r="U84" s="1040"/>
      <c r="V84" s="1040"/>
    </row>
    <row r="85" spans="1:22" s="419" customFormat="1" ht="14.25" customHeight="1">
      <c r="A85" s="968"/>
      <c r="B85" s="974"/>
      <c r="C85" s="1042"/>
      <c r="D85" s="972"/>
      <c r="E85" s="1044"/>
      <c r="F85" s="968"/>
      <c r="G85" s="418">
        <v>275991</v>
      </c>
      <c r="H85" s="418">
        <v>233011</v>
      </c>
      <c r="I85" s="1039"/>
      <c r="J85" s="1039"/>
      <c r="K85" s="1040"/>
      <c r="L85" s="1040"/>
      <c r="M85" s="1039"/>
      <c r="N85" s="1039"/>
      <c r="O85" s="1040"/>
      <c r="P85" s="1040"/>
      <c r="Q85" s="1039"/>
      <c r="R85" s="1040"/>
      <c r="S85" s="1040"/>
      <c r="T85" s="1039"/>
      <c r="U85" s="1040"/>
      <c r="V85" s="1040"/>
    </row>
    <row r="86" spans="1:22" s="419" customFormat="1" ht="14.25" customHeight="1">
      <c r="A86" s="968"/>
      <c r="B86" s="975"/>
      <c r="C86" s="1043"/>
      <c r="D86" s="972"/>
      <c r="E86" s="1044"/>
      <c r="F86" s="968"/>
      <c r="G86" s="418">
        <v>0</v>
      </c>
      <c r="H86" s="418">
        <v>0</v>
      </c>
      <c r="I86" s="1039"/>
      <c r="J86" s="1039"/>
      <c r="K86" s="1040"/>
      <c r="L86" s="1040"/>
      <c r="M86" s="1039"/>
      <c r="N86" s="1039"/>
      <c r="O86" s="1040"/>
      <c r="P86" s="1040"/>
      <c r="Q86" s="1039"/>
      <c r="R86" s="1040"/>
      <c r="S86" s="1040"/>
      <c r="T86" s="1039"/>
      <c r="U86" s="1040"/>
      <c r="V86" s="1040"/>
    </row>
    <row r="87" spans="1:22" s="419" customFormat="1" ht="14.25" customHeight="1">
      <c r="A87" s="968">
        <v>15</v>
      </c>
      <c r="B87" s="973" t="s">
        <v>733</v>
      </c>
      <c r="C87" s="1041" t="s">
        <v>738</v>
      </c>
      <c r="D87" s="972" t="s">
        <v>502</v>
      </c>
      <c r="E87" s="1044" t="s">
        <v>739</v>
      </c>
      <c r="F87" s="968" t="s">
        <v>524</v>
      </c>
      <c r="G87" s="418">
        <f>G88+G89+G90+G91</f>
        <v>194400</v>
      </c>
      <c r="H87" s="418">
        <f>H88+H89+H90+H91</f>
        <v>72000</v>
      </c>
      <c r="I87" s="1039">
        <f>J87+M87</f>
        <v>122400</v>
      </c>
      <c r="J87" s="1039">
        <f>K87+L87</f>
        <v>122400</v>
      </c>
      <c r="K87" s="1040">
        <v>122400</v>
      </c>
      <c r="L87" s="1040">
        <v>0</v>
      </c>
      <c r="M87" s="1039">
        <f>N87+Q87+T87</f>
        <v>0</v>
      </c>
      <c r="N87" s="1039">
        <f>O87+P87</f>
        <v>0</v>
      </c>
      <c r="O87" s="1040">
        <v>0</v>
      </c>
      <c r="P87" s="1040">
        <v>0</v>
      </c>
      <c r="Q87" s="1039">
        <f>R87+S87</f>
        <v>0</v>
      </c>
      <c r="R87" s="1040">
        <v>0</v>
      </c>
      <c r="S87" s="1040">
        <v>0</v>
      </c>
      <c r="T87" s="1039">
        <f>U87+V87</f>
        <v>0</v>
      </c>
      <c r="U87" s="1040">
        <v>0</v>
      </c>
      <c r="V87" s="1040">
        <v>0</v>
      </c>
    </row>
    <row r="88" spans="1:22" s="419" customFormat="1" ht="14.25" customHeight="1">
      <c r="A88" s="968"/>
      <c r="B88" s="974"/>
      <c r="C88" s="1042"/>
      <c r="D88" s="972"/>
      <c r="E88" s="1044"/>
      <c r="F88" s="968"/>
      <c r="G88" s="418">
        <v>183600</v>
      </c>
      <c r="H88" s="418">
        <v>61200</v>
      </c>
      <c r="I88" s="1039"/>
      <c r="J88" s="1039"/>
      <c r="K88" s="1040"/>
      <c r="L88" s="1040"/>
      <c r="M88" s="1039"/>
      <c r="N88" s="1039"/>
      <c r="O88" s="1040"/>
      <c r="P88" s="1040"/>
      <c r="Q88" s="1039"/>
      <c r="R88" s="1040"/>
      <c r="S88" s="1040"/>
      <c r="T88" s="1039"/>
      <c r="U88" s="1040"/>
      <c r="V88" s="1040"/>
    </row>
    <row r="89" spans="1:22" s="419" customFormat="1" ht="14.25" customHeight="1">
      <c r="A89" s="968"/>
      <c r="B89" s="974"/>
      <c r="C89" s="1042"/>
      <c r="D89" s="972"/>
      <c r="E89" s="1044"/>
      <c r="F89" s="968"/>
      <c r="G89" s="418">
        <v>0</v>
      </c>
      <c r="H89" s="418">
        <v>0</v>
      </c>
      <c r="I89" s="1039"/>
      <c r="J89" s="1039"/>
      <c r="K89" s="1040"/>
      <c r="L89" s="1040"/>
      <c r="M89" s="1039"/>
      <c r="N89" s="1039"/>
      <c r="O89" s="1040"/>
      <c r="P89" s="1040"/>
      <c r="Q89" s="1039"/>
      <c r="R89" s="1040"/>
      <c r="S89" s="1040"/>
      <c r="T89" s="1039"/>
      <c r="U89" s="1040"/>
      <c r="V89" s="1040"/>
    </row>
    <row r="90" spans="1:22" s="419" customFormat="1" ht="14.25" customHeight="1">
      <c r="A90" s="968"/>
      <c r="B90" s="974"/>
      <c r="C90" s="1042"/>
      <c r="D90" s="972"/>
      <c r="E90" s="1044"/>
      <c r="F90" s="968"/>
      <c r="G90" s="418">
        <v>10800</v>
      </c>
      <c r="H90" s="418">
        <v>10800</v>
      </c>
      <c r="I90" s="1039"/>
      <c r="J90" s="1039"/>
      <c r="K90" s="1040"/>
      <c r="L90" s="1040"/>
      <c r="M90" s="1039"/>
      <c r="N90" s="1039"/>
      <c r="O90" s="1040"/>
      <c r="P90" s="1040"/>
      <c r="Q90" s="1039"/>
      <c r="R90" s="1040"/>
      <c r="S90" s="1040"/>
      <c r="T90" s="1039"/>
      <c r="U90" s="1040"/>
      <c r="V90" s="1040"/>
    </row>
    <row r="91" spans="1:22" s="419" customFormat="1" ht="14.25" customHeight="1">
      <c r="A91" s="968"/>
      <c r="B91" s="975"/>
      <c r="C91" s="1043"/>
      <c r="D91" s="972"/>
      <c r="E91" s="1044"/>
      <c r="F91" s="968"/>
      <c r="G91" s="418">
        <v>0</v>
      </c>
      <c r="H91" s="418">
        <v>0</v>
      </c>
      <c r="I91" s="1039"/>
      <c r="J91" s="1039"/>
      <c r="K91" s="1040"/>
      <c r="L91" s="1040"/>
      <c r="M91" s="1039"/>
      <c r="N91" s="1039"/>
      <c r="O91" s="1040"/>
      <c r="P91" s="1040"/>
      <c r="Q91" s="1039"/>
      <c r="R91" s="1040"/>
      <c r="S91" s="1040"/>
      <c r="T91" s="1039"/>
      <c r="U91" s="1040"/>
      <c r="V91" s="1040"/>
    </row>
    <row r="92" spans="1:22" s="419" customFormat="1" ht="14.25" customHeight="1">
      <c r="A92" s="968">
        <v>16</v>
      </c>
      <c r="B92" s="973" t="s">
        <v>740</v>
      </c>
      <c r="C92" s="1041" t="s">
        <v>741</v>
      </c>
      <c r="D92" s="972" t="s">
        <v>502</v>
      </c>
      <c r="E92" s="1044" t="s">
        <v>735</v>
      </c>
      <c r="F92" s="968" t="s">
        <v>518</v>
      </c>
      <c r="G92" s="418">
        <f>G93+G94+G95+G96</f>
        <v>540782</v>
      </c>
      <c r="H92" s="418">
        <f>H93+H94+H95+H96</f>
        <v>431152</v>
      </c>
      <c r="I92" s="1039">
        <f>J92+M92</f>
        <v>80890</v>
      </c>
      <c r="J92" s="1039">
        <f>K92+L92</f>
        <v>68756</v>
      </c>
      <c r="K92" s="1040">
        <v>68756</v>
      </c>
      <c r="L92" s="1040">
        <v>0</v>
      </c>
      <c r="M92" s="1039">
        <f>N92+Q92+T92</f>
        <v>12134</v>
      </c>
      <c r="N92" s="1039">
        <f>O92+P92</f>
        <v>0</v>
      </c>
      <c r="O92" s="1040">
        <v>0</v>
      </c>
      <c r="P92" s="1040">
        <v>0</v>
      </c>
      <c r="Q92" s="1039">
        <f>R92+S92</f>
        <v>12134</v>
      </c>
      <c r="R92" s="1040">
        <v>12134</v>
      </c>
      <c r="S92" s="1040">
        <v>0</v>
      </c>
      <c r="T92" s="1039">
        <f>U92+V92</f>
        <v>0</v>
      </c>
      <c r="U92" s="1040">
        <v>0</v>
      </c>
      <c r="V92" s="1040">
        <v>0</v>
      </c>
    </row>
    <row r="93" spans="1:22" s="419" customFormat="1" ht="14.25" customHeight="1">
      <c r="A93" s="968"/>
      <c r="B93" s="974"/>
      <c r="C93" s="1042"/>
      <c r="D93" s="972"/>
      <c r="E93" s="1044"/>
      <c r="F93" s="968"/>
      <c r="G93" s="418">
        <v>459660</v>
      </c>
      <c r="H93" s="418">
        <v>366475</v>
      </c>
      <c r="I93" s="1039"/>
      <c r="J93" s="1039"/>
      <c r="K93" s="1040"/>
      <c r="L93" s="1040"/>
      <c r="M93" s="1039"/>
      <c r="N93" s="1039"/>
      <c r="O93" s="1040"/>
      <c r="P93" s="1040"/>
      <c r="Q93" s="1039"/>
      <c r="R93" s="1040"/>
      <c r="S93" s="1040"/>
      <c r="T93" s="1039"/>
      <c r="U93" s="1040"/>
      <c r="V93" s="1040"/>
    </row>
    <row r="94" spans="1:22" s="419" customFormat="1" ht="14.25" customHeight="1">
      <c r="A94" s="968"/>
      <c r="B94" s="974"/>
      <c r="C94" s="1042"/>
      <c r="D94" s="972"/>
      <c r="E94" s="1044"/>
      <c r="F94" s="968"/>
      <c r="G94" s="418">
        <v>0</v>
      </c>
      <c r="H94" s="418">
        <v>0</v>
      </c>
      <c r="I94" s="1039"/>
      <c r="J94" s="1039"/>
      <c r="K94" s="1040"/>
      <c r="L94" s="1040"/>
      <c r="M94" s="1039"/>
      <c r="N94" s="1039"/>
      <c r="O94" s="1040"/>
      <c r="P94" s="1040"/>
      <c r="Q94" s="1039"/>
      <c r="R94" s="1040"/>
      <c r="S94" s="1040"/>
      <c r="T94" s="1039"/>
      <c r="U94" s="1040"/>
      <c r="V94" s="1040"/>
    </row>
    <row r="95" spans="1:22" s="419" customFormat="1" ht="14.25" customHeight="1">
      <c r="A95" s="968"/>
      <c r="B95" s="974"/>
      <c r="C95" s="1042"/>
      <c r="D95" s="972"/>
      <c r="E95" s="1044"/>
      <c r="F95" s="968"/>
      <c r="G95" s="418">
        <v>81122</v>
      </c>
      <c r="H95" s="418">
        <v>64677</v>
      </c>
      <c r="I95" s="1039"/>
      <c r="J95" s="1039"/>
      <c r="K95" s="1040"/>
      <c r="L95" s="1040"/>
      <c r="M95" s="1039"/>
      <c r="N95" s="1039"/>
      <c r="O95" s="1040"/>
      <c r="P95" s="1040"/>
      <c r="Q95" s="1039"/>
      <c r="R95" s="1040"/>
      <c r="S95" s="1040"/>
      <c r="T95" s="1039"/>
      <c r="U95" s="1040"/>
      <c r="V95" s="1040"/>
    </row>
    <row r="96" spans="1:22" s="419" customFormat="1" ht="14.25" customHeight="1">
      <c r="A96" s="968"/>
      <c r="B96" s="975"/>
      <c r="C96" s="1043"/>
      <c r="D96" s="972"/>
      <c r="E96" s="1044"/>
      <c r="F96" s="968"/>
      <c r="G96" s="418">
        <v>0</v>
      </c>
      <c r="H96" s="418">
        <v>0</v>
      </c>
      <c r="I96" s="1039"/>
      <c r="J96" s="1039"/>
      <c r="K96" s="1040"/>
      <c r="L96" s="1040"/>
      <c r="M96" s="1039"/>
      <c r="N96" s="1039"/>
      <c r="O96" s="1040"/>
      <c r="P96" s="1040"/>
      <c r="Q96" s="1039"/>
      <c r="R96" s="1040"/>
      <c r="S96" s="1040"/>
      <c r="T96" s="1039"/>
      <c r="U96" s="1040"/>
      <c r="V96" s="1040"/>
    </row>
    <row r="97" spans="1:22" s="419" customFormat="1" ht="15" customHeight="1">
      <c r="A97" s="968">
        <v>17</v>
      </c>
      <c r="B97" s="973" t="s">
        <v>742</v>
      </c>
      <c r="C97" s="1041" t="s">
        <v>743</v>
      </c>
      <c r="D97" s="972" t="s">
        <v>502</v>
      </c>
      <c r="E97" s="1044" t="s">
        <v>647</v>
      </c>
      <c r="F97" s="968" t="s">
        <v>528</v>
      </c>
      <c r="G97" s="418">
        <f>G98+G99+G100+G101</f>
        <v>763665</v>
      </c>
      <c r="H97" s="418">
        <f>H98+H99+H100+H101</f>
        <v>144928</v>
      </c>
      <c r="I97" s="1039">
        <f>J97+M97</f>
        <v>320038</v>
      </c>
      <c r="J97" s="1039">
        <f>K97+L97</f>
        <v>272033</v>
      </c>
      <c r="K97" s="1040">
        <v>272033</v>
      </c>
      <c r="L97" s="1040">
        <v>0</v>
      </c>
      <c r="M97" s="1039">
        <f>N97+Q97+T97</f>
        <v>48005</v>
      </c>
      <c r="N97" s="1039">
        <f>O97+P97</f>
        <v>0</v>
      </c>
      <c r="O97" s="1040">
        <v>0</v>
      </c>
      <c r="P97" s="1040">
        <v>0</v>
      </c>
      <c r="Q97" s="1039">
        <f>R97+S97</f>
        <v>48005</v>
      </c>
      <c r="R97" s="1040">
        <v>48005</v>
      </c>
      <c r="S97" s="1040">
        <v>0</v>
      </c>
      <c r="T97" s="1039">
        <f>U97+V97</f>
        <v>0</v>
      </c>
      <c r="U97" s="1040">
        <v>0</v>
      </c>
      <c r="V97" s="1040">
        <v>0</v>
      </c>
    </row>
    <row r="98" spans="1:22" s="419" customFormat="1" ht="15" customHeight="1">
      <c r="A98" s="968"/>
      <c r="B98" s="974"/>
      <c r="C98" s="1042"/>
      <c r="D98" s="972"/>
      <c r="E98" s="1044"/>
      <c r="F98" s="968"/>
      <c r="G98" s="418">
        <v>649115</v>
      </c>
      <c r="H98" s="418">
        <v>123188</v>
      </c>
      <c r="I98" s="1039"/>
      <c r="J98" s="1039"/>
      <c r="K98" s="1040"/>
      <c r="L98" s="1040"/>
      <c r="M98" s="1039"/>
      <c r="N98" s="1039"/>
      <c r="O98" s="1040"/>
      <c r="P98" s="1040"/>
      <c r="Q98" s="1039"/>
      <c r="R98" s="1040"/>
      <c r="S98" s="1040"/>
      <c r="T98" s="1039"/>
      <c r="U98" s="1040"/>
      <c r="V98" s="1040"/>
    </row>
    <row r="99" spans="1:22" s="419" customFormat="1" ht="15" customHeight="1">
      <c r="A99" s="968"/>
      <c r="B99" s="974"/>
      <c r="C99" s="1042"/>
      <c r="D99" s="972"/>
      <c r="E99" s="1044"/>
      <c r="F99" s="968"/>
      <c r="G99" s="418">
        <v>0</v>
      </c>
      <c r="H99" s="418">
        <v>0</v>
      </c>
      <c r="I99" s="1039"/>
      <c r="J99" s="1039"/>
      <c r="K99" s="1040"/>
      <c r="L99" s="1040"/>
      <c r="M99" s="1039"/>
      <c r="N99" s="1039"/>
      <c r="O99" s="1040"/>
      <c r="P99" s="1040"/>
      <c r="Q99" s="1039"/>
      <c r="R99" s="1040"/>
      <c r="S99" s="1040"/>
      <c r="T99" s="1039"/>
      <c r="U99" s="1040"/>
      <c r="V99" s="1040"/>
    </row>
    <row r="100" spans="1:22" s="419" customFormat="1" ht="15" customHeight="1">
      <c r="A100" s="968"/>
      <c r="B100" s="974"/>
      <c r="C100" s="1042"/>
      <c r="D100" s="972"/>
      <c r="E100" s="1044"/>
      <c r="F100" s="968"/>
      <c r="G100" s="418">
        <v>114550</v>
      </c>
      <c r="H100" s="418">
        <v>21740</v>
      </c>
      <c r="I100" s="1039"/>
      <c r="J100" s="1039"/>
      <c r="K100" s="1040"/>
      <c r="L100" s="1040"/>
      <c r="M100" s="1039"/>
      <c r="N100" s="1039"/>
      <c r="O100" s="1040"/>
      <c r="P100" s="1040"/>
      <c r="Q100" s="1039"/>
      <c r="R100" s="1040"/>
      <c r="S100" s="1040"/>
      <c r="T100" s="1039"/>
      <c r="U100" s="1040"/>
      <c r="V100" s="1040"/>
    </row>
    <row r="101" spans="1:22" s="419" customFormat="1" ht="15" customHeight="1">
      <c r="A101" s="968"/>
      <c r="B101" s="975"/>
      <c r="C101" s="1043"/>
      <c r="D101" s="972"/>
      <c r="E101" s="1044"/>
      <c r="F101" s="968"/>
      <c r="G101" s="418">
        <v>0</v>
      </c>
      <c r="H101" s="418">
        <v>0</v>
      </c>
      <c r="I101" s="1039"/>
      <c r="J101" s="1039"/>
      <c r="K101" s="1040"/>
      <c r="L101" s="1040"/>
      <c r="M101" s="1039"/>
      <c r="N101" s="1039"/>
      <c r="O101" s="1040"/>
      <c r="P101" s="1040"/>
      <c r="Q101" s="1039"/>
      <c r="R101" s="1040"/>
      <c r="S101" s="1040"/>
      <c r="T101" s="1039"/>
      <c r="U101" s="1040"/>
      <c r="V101" s="1040"/>
    </row>
    <row r="102" spans="1:22" s="419" customFormat="1" ht="15" customHeight="1">
      <c r="A102" s="968">
        <v>18</v>
      </c>
      <c r="B102" s="973" t="s">
        <v>742</v>
      </c>
      <c r="C102" s="1041" t="s">
        <v>744</v>
      </c>
      <c r="D102" s="972" t="s">
        <v>502</v>
      </c>
      <c r="E102" s="1044" t="s">
        <v>542</v>
      </c>
      <c r="F102" s="968" t="s">
        <v>528</v>
      </c>
      <c r="G102" s="418">
        <f>G103+G104+G105+G106</f>
        <v>698886</v>
      </c>
      <c r="H102" s="418">
        <f>H103+H104+H105+H106</f>
        <v>298463</v>
      </c>
      <c r="I102" s="1039">
        <f>J102+M102</f>
        <v>309044</v>
      </c>
      <c r="J102" s="1039">
        <f>K102+L102</f>
        <v>262686</v>
      </c>
      <c r="K102" s="1040">
        <v>262686</v>
      </c>
      <c r="L102" s="1040">
        <v>0</v>
      </c>
      <c r="M102" s="1039">
        <f>N102+Q102+T102</f>
        <v>46358</v>
      </c>
      <c r="N102" s="1039">
        <f>O102+P102</f>
        <v>0</v>
      </c>
      <c r="O102" s="1040">
        <v>0</v>
      </c>
      <c r="P102" s="1040">
        <v>0</v>
      </c>
      <c r="Q102" s="1039">
        <f>R102+S102</f>
        <v>46358</v>
      </c>
      <c r="R102" s="1040">
        <v>46358</v>
      </c>
      <c r="S102" s="1040">
        <v>0</v>
      </c>
      <c r="T102" s="1039">
        <f>U102+V102</f>
        <v>0</v>
      </c>
      <c r="U102" s="1040">
        <v>0</v>
      </c>
      <c r="V102" s="1040">
        <v>0</v>
      </c>
    </row>
    <row r="103" spans="1:22" s="419" customFormat="1" ht="15" customHeight="1">
      <c r="A103" s="968"/>
      <c r="B103" s="974"/>
      <c r="C103" s="1042"/>
      <c r="D103" s="972"/>
      <c r="E103" s="1044"/>
      <c r="F103" s="968"/>
      <c r="G103" s="418">
        <v>594053</v>
      </c>
      <c r="H103" s="418">
        <v>253692</v>
      </c>
      <c r="I103" s="1039"/>
      <c r="J103" s="1039"/>
      <c r="K103" s="1040"/>
      <c r="L103" s="1040"/>
      <c r="M103" s="1039"/>
      <c r="N103" s="1039"/>
      <c r="O103" s="1040"/>
      <c r="P103" s="1040"/>
      <c r="Q103" s="1039"/>
      <c r="R103" s="1040"/>
      <c r="S103" s="1040"/>
      <c r="T103" s="1039"/>
      <c r="U103" s="1040"/>
      <c r="V103" s="1040"/>
    </row>
    <row r="104" spans="1:22" s="419" customFormat="1" ht="15" customHeight="1">
      <c r="A104" s="968"/>
      <c r="B104" s="974"/>
      <c r="C104" s="1042"/>
      <c r="D104" s="972"/>
      <c r="E104" s="1044"/>
      <c r="F104" s="968"/>
      <c r="G104" s="418">
        <v>0</v>
      </c>
      <c r="H104" s="418">
        <v>0</v>
      </c>
      <c r="I104" s="1039"/>
      <c r="J104" s="1039"/>
      <c r="K104" s="1040"/>
      <c r="L104" s="1040"/>
      <c r="M104" s="1039"/>
      <c r="N104" s="1039"/>
      <c r="O104" s="1040"/>
      <c r="P104" s="1040"/>
      <c r="Q104" s="1039"/>
      <c r="R104" s="1040"/>
      <c r="S104" s="1040"/>
      <c r="T104" s="1039"/>
      <c r="U104" s="1040"/>
      <c r="V104" s="1040"/>
    </row>
    <row r="105" spans="1:22" s="419" customFormat="1" ht="15" customHeight="1">
      <c r="A105" s="968"/>
      <c r="B105" s="974"/>
      <c r="C105" s="1042"/>
      <c r="D105" s="972"/>
      <c r="E105" s="1044"/>
      <c r="F105" s="968"/>
      <c r="G105" s="418">
        <v>104833</v>
      </c>
      <c r="H105" s="418">
        <v>44771</v>
      </c>
      <c r="I105" s="1039"/>
      <c r="J105" s="1039"/>
      <c r="K105" s="1040"/>
      <c r="L105" s="1040"/>
      <c r="M105" s="1039"/>
      <c r="N105" s="1039"/>
      <c r="O105" s="1040"/>
      <c r="P105" s="1040"/>
      <c r="Q105" s="1039"/>
      <c r="R105" s="1040"/>
      <c r="S105" s="1040"/>
      <c r="T105" s="1039"/>
      <c r="U105" s="1040"/>
      <c r="V105" s="1040"/>
    </row>
    <row r="106" spans="1:22" s="419" customFormat="1" ht="15" customHeight="1">
      <c r="A106" s="968"/>
      <c r="B106" s="975"/>
      <c r="C106" s="1043"/>
      <c r="D106" s="972"/>
      <c r="E106" s="1044"/>
      <c r="F106" s="968"/>
      <c r="G106" s="418">
        <v>0</v>
      </c>
      <c r="H106" s="418">
        <v>0</v>
      </c>
      <c r="I106" s="1039"/>
      <c r="J106" s="1039"/>
      <c r="K106" s="1040"/>
      <c r="L106" s="1040"/>
      <c r="M106" s="1039"/>
      <c r="N106" s="1039"/>
      <c r="O106" s="1040"/>
      <c r="P106" s="1040"/>
      <c r="Q106" s="1039"/>
      <c r="R106" s="1040"/>
      <c r="S106" s="1040"/>
      <c r="T106" s="1039"/>
      <c r="U106" s="1040"/>
      <c r="V106" s="1040"/>
    </row>
    <row r="107" spans="1:22" s="419" customFormat="1" ht="15" customHeight="1">
      <c r="A107" s="968">
        <v>19</v>
      </c>
      <c r="B107" s="973" t="s">
        <v>745</v>
      </c>
      <c r="C107" s="1041" t="s">
        <v>746</v>
      </c>
      <c r="D107" s="972" t="s">
        <v>502</v>
      </c>
      <c r="E107" s="1044" t="s">
        <v>747</v>
      </c>
      <c r="F107" s="968" t="s">
        <v>543</v>
      </c>
      <c r="G107" s="418">
        <f>G108+G109+G110+G111</f>
        <v>43138</v>
      </c>
      <c r="H107" s="418">
        <f>H108+H109+H110+H111</f>
        <v>21569</v>
      </c>
      <c r="I107" s="1039">
        <f>J107+M107</f>
        <v>21569</v>
      </c>
      <c r="J107" s="1039">
        <f>K107+L107</f>
        <v>16177</v>
      </c>
      <c r="K107" s="1040">
        <v>16177</v>
      </c>
      <c r="L107" s="1040">
        <v>0</v>
      </c>
      <c r="M107" s="1039">
        <f>N107+Q107+T107</f>
        <v>5392</v>
      </c>
      <c r="N107" s="1039">
        <f>O107+P107</f>
        <v>0</v>
      </c>
      <c r="O107" s="1040">
        <v>0</v>
      </c>
      <c r="P107" s="1040">
        <v>0</v>
      </c>
      <c r="Q107" s="1039">
        <f>R107+S107</f>
        <v>5392</v>
      </c>
      <c r="R107" s="1040">
        <v>5392</v>
      </c>
      <c r="S107" s="1040">
        <v>0</v>
      </c>
      <c r="T107" s="1039">
        <f>U107+V107</f>
        <v>0</v>
      </c>
      <c r="U107" s="1040">
        <v>0</v>
      </c>
      <c r="V107" s="1040">
        <v>0</v>
      </c>
    </row>
    <row r="108" spans="1:22" s="419" customFormat="1" ht="15" customHeight="1">
      <c r="A108" s="968"/>
      <c r="B108" s="974"/>
      <c r="C108" s="1042"/>
      <c r="D108" s="972"/>
      <c r="E108" s="1044"/>
      <c r="F108" s="968"/>
      <c r="G108" s="418">
        <v>32354</v>
      </c>
      <c r="H108" s="418">
        <v>16177</v>
      </c>
      <c r="I108" s="1039"/>
      <c r="J108" s="1039"/>
      <c r="K108" s="1040"/>
      <c r="L108" s="1040"/>
      <c r="M108" s="1039"/>
      <c r="N108" s="1039"/>
      <c r="O108" s="1040"/>
      <c r="P108" s="1040"/>
      <c r="Q108" s="1039"/>
      <c r="R108" s="1040"/>
      <c r="S108" s="1040"/>
      <c r="T108" s="1039"/>
      <c r="U108" s="1040"/>
      <c r="V108" s="1040"/>
    </row>
    <row r="109" spans="1:22" s="419" customFormat="1" ht="15" customHeight="1">
      <c r="A109" s="968"/>
      <c r="B109" s="974"/>
      <c r="C109" s="1042"/>
      <c r="D109" s="972"/>
      <c r="E109" s="1044"/>
      <c r="F109" s="968"/>
      <c r="G109" s="418">
        <v>0</v>
      </c>
      <c r="H109" s="418">
        <v>0</v>
      </c>
      <c r="I109" s="1039"/>
      <c r="J109" s="1039"/>
      <c r="K109" s="1040"/>
      <c r="L109" s="1040"/>
      <c r="M109" s="1039"/>
      <c r="N109" s="1039"/>
      <c r="O109" s="1040"/>
      <c r="P109" s="1040"/>
      <c r="Q109" s="1039"/>
      <c r="R109" s="1040"/>
      <c r="S109" s="1040"/>
      <c r="T109" s="1039"/>
      <c r="U109" s="1040"/>
      <c r="V109" s="1040"/>
    </row>
    <row r="110" spans="1:22" s="419" customFormat="1" ht="15" customHeight="1">
      <c r="A110" s="968"/>
      <c r="B110" s="974"/>
      <c r="C110" s="1042"/>
      <c r="D110" s="972"/>
      <c r="E110" s="1044"/>
      <c r="F110" s="968"/>
      <c r="G110" s="418">
        <v>10784</v>
      </c>
      <c r="H110" s="418">
        <v>5392</v>
      </c>
      <c r="I110" s="1039"/>
      <c r="J110" s="1039"/>
      <c r="K110" s="1040"/>
      <c r="L110" s="1040"/>
      <c r="M110" s="1039"/>
      <c r="N110" s="1039"/>
      <c r="O110" s="1040"/>
      <c r="P110" s="1040"/>
      <c r="Q110" s="1039"/>
      <c r="R110" s="1040"/>
      <c r="S110" s="1040"/>
      <c r="T110" s="1039"/>
      <c r="U110" s="1040"/>
      <c r="V110" s="1040"/>
    </row>
    <row r="111" spans="1:22" s="419" customFormat="1" ht="15" customHeight="1">
      <c r="A111" s="968"/>
      <c r="B111" s="975"/>
      <c r="C111" s="1043"/>
      <c r="D111" s="972"/>
      <c r="E111" s="1044"/>
      <c r="F111" s="968"/>
      <c r="G111" s="418">
        <v>0</v>
      </c>
      <c r="H111" s="418">
        <v>0</v>
      </c>
      <c r="I111" s="1039"/>
      <c r="J111" s="1039"/>
      <c r="K111" s="1040"/>
      <c r="L111" s="1040"/>
      <c r="M111" s="1039"/>
      <c r="N111" s="1039"/>
      <c r="O111" s="1040"/>
      <c r="P111" s="1040"/>
      <c r="Q111" s="1039"/>
      <c r="R111" s="1040"/>
      <c r="S111" s="1040"/>
      <c r="T111" s="1039"/>
      <c r="U111" s="1040"/>
      <c r="V111" s="1040"/>
    </row>
    <row r="112" spans="1:22" s="419" customFormat="1" ht="14.25" customHeight="1">
      <c r="A112" s="968">
        <v>20</v>
      </c>
      <c r="B112" s="973" t="s">
        <v>740</v>
      </c>
      <c r="C112" s="1041" t="s">
        <v>748</v>
      </c>
      <c r="D112" s="972" t="s">
        <v>502</v>
      </c>
      <c r="E112" s="1044" t="s">
        <v>735</v>
      </c>
      <c r="F112" s="968" t="s">
        <v>749</v>
      </c>
      <c r="G112" s="418">
        <f>G113+G114+G115+G116</f>
        <v>789965</v>
      </c>
      <c r="H112" s="418">
        <f>H113+H114+H115+H116</f>
        <v>59954</v>
      </c>
      <c r="I112" s="1039">
        <f>J112+M112</f>
        <v>232236</v>
      </c>
      <c r="J112" s="1039">
        <f>K112+L112</f>
        <v>197401</v>
      </c>
      <c r="K112" s="1040">
        <v>197401</v>
      </c>
      <c r="L112" s="1040">
        <v>0</v>
      </c>
      <c r="M112" s="1039">
        <f>N112+Q112+T112</f>
        <v>34835</v>
      </c>
      <c r="N112" s="1039">
        <f>O112+P112</f>
        <v>0</v>
      </c>
      <c r="O112" s="1040">
        <v>0</v>
      </c>
      <c r="P112" s="1040">
        <v>0</v>
      </c>
      <c r="Q112" s="1039">
        <f>R112+S112</f>
        <v>34835</v>
      </c>
      <c r="R112" s="1040">
        <v>34835</v>
      </c>
      <c r="S112" s="1040">
        <v>0</v>
      </c>
      <c r="T112" s="1039">
        <f>U112+V112</f>
        <v>0</v>
      </c>
      <c r="U112" s="1040">
        <v>0</v>
      </c>
      <c r="V112" s="1040">
        <v>0</v>
      </c>
    </row>
    <row r="113" spans="1:22" s="419" customFormat="1" ht="14.25" customHeight="1">
      <c r="A113" s="968"/>
      <c r="B113" s="974"/>
      <c r="C113" s="1042"/>
      <c r="D113" s="972"/>
      <c r="E113" s="1044"/>
      <c r="F113" s="968"/>
      <c r="G113" s="418">
        <v>671470</v>
      </c>
      <c r="H113" s="418">
        <v>50958</v>
      </c>
      <c r="I113" s="1039"/>
      <c r="J113" s="1039"/>
      <c r="K113" s="1040"/>
      <c r="L113" s="1040"/>
      <c r="M113" s="1039"/>
      <c r="N113" s="1039"/>
      <c r="O113" s="1040"/>
      <c r="P113" s="1040"/>
      <c r="Q113" s="1039"/>
      <c r="R113" s="1040"/>
      <c r="S113" s="1040"/>
      <c r="T113" s="1039"/>
      <c r="U113" s="1040"/>
      <c r="V113" s="1040"/>
    </row>
    <row r="114" spans="1:22" s="419" customFormat="1" ht="14.25" customHeight="1">
      <c r="A114" s="968"/>
      <c r="B114" s="974"/>
      <c r="C114" s="1042"/>
      <c r="D114" s="972"/>
      <c r="E114" s="1044"/>
      <c r="F114" s="968"/>
      <c r="G114" s="418">
        <v>0</v>
      </c>
      <c r="H114" s="418">
        <v>0</v>
      </c>
      <c r="I114" s="1039"/>
      <c r="J114" s="1039"/>
      <c r="K114" s="1040"/>
      <c r="L114" s="1040"/>
      <c r="M114" s="1039"/>
      <c r="N114" s="1039"/>
      <c r="O114" s="1040"/>
      <c r="P114" s="1040"/>
      <c r="Q114" s="1039"/>
      <c r="R114" s="1040"/>
      <c r="S114" s="1040"/>
      <c r="T114" s="1039"/>
      <c r="U114" s="1040"/>
      <c r="V114" s="1040"/>
    </row>
    <row r="115" spans="1:22" s="419" customFormat="1" ht="14.25" customHeight="1">
      <c r="A115" s="968"/>
      <c r="B115" s="974"/>
      <c r="C115" s="1042"/>
      <c r="D115" s="972"/>
      <c r="E115" s="1044"/>
      <c r="F115" s="968"/>
      <c r="G115" s="418">
        <v>118495</v>
      </c>
      <c r="H115" s="418">
        <v>8996</v>
      </c>
      <c r="I115" s="1039"/>
      <c r="J115" s="1039"/>
      <c r="K115" s="1040"/>
      <c r="L115" s="1040"/>
      <c r="M115" s="1039"/>
      <c r="N115" s="1039"/>
      <c r="O115" s="1040"/>
      <c r="P115" s="1040"/>
      <c r="Q115" s="1039"/>
      <c r="R115" s="1040"/>
      <c r="S115" s="1040"/>
      <c r="T115" s="1039"/>
      <c r="U115" s="1040"/>
      <c r="V115" s="1040"/>
    </row>
    <row r="116" spans="1:22" s="419" customFormat="1" ht="14.25" customHeight="1">
      <c r="A116" s="968"/>
      <c r="B116" s="975"/>
      <c r="C116" s="1043"/>
      <c r="D116" s="972"/>
      <c r="E116" s="1044"/>
      <c r="F116" s="968"/>
      <c r="G116" s="418">
        <v>0</v>
      </c>
      <c r="H116" s="418">
        <v>0</v>
      </c>
      <c r="I116" s="1039"/>
      <c r="J116" s="1039"/>
      <c r="K116" s="1040"/>
      <c r="L116" s="1040"/>
      <c r="M116" s="1039"/>
      <c r="N116" s="1039"/>
      <c r="O116" s="1040"/>
      <c r="P116" s="1040"/>
      <c r="Q116" s="1039"/>
      <c r="R116" s="1040"/>
      <c r="S116" s="1040"/>
      <c r="T116" s="1039"/>
      <c r="U116" s="1040"/>
      <c r="V116" s="1040"/>
    </row>
    <row r="117" spans="1:22" s="419" customFormat="1" ht="14.25" customHeight="1">
      <c r="A117" s="968">
        <v>21</v>
      </c>
      <c r="B117" s="973" t="s">
        <v>740</v>
      </c>
      <c r="C117" s="1041" t="s">
        <v>750</v>
      </c>
      <c r="D117" s="972" t="s">
        <v>502</v>
      </c>
      <c r="E117" s="1044" t="s">
        <v>739</v>
      </c>
      <c r="F117" s="968" t="s">
        <v>515</v>
      </c>
      <c r="G117" s="418">
        <f>G118+G119+G120+G121</f>
        <v>812585</v>
      </c>
      <c r="H117" s="418">
        <f>H118+H119+H120+H121</f>
        <v>88909</v>
      </c>
      <c r="I117" s="1039">
        <f>J117+M117</f>
        <v>326159</v>
      </c>
      <c r="J117" s="1039">
        <f>K117+L117</f>
        <v>277235</v>
      </c>
      <c r="K117" s="1040">
        <v>277235</v>
      </c>
      <c r="L117" s="1040">
        <v>0</v>
      </c>
      <c r="M117" s="1039">
        <f>N117+Q117+T117</f>
        <v>48924</v>
      </c>
      <c r="N117" s="1039">
        <f>O117+P117</f>
        <v>0</v>
      </c>
      <c r="O117" s="1040">
        <v>0</v>
      </c>
      <c r="P117" s="1040">
        <v>0</v>
      </c>
      <c r="Q117" s="1039">
        <f>R117+S117</f>
        <v>48924</v>
      </c>
      <c r="R117" s="1040">
        <v>48924</v>
      </c>
      <c r="S117" s="1040">
        <v>0</v>
      </c>
      <c r="T117" s="1039">
        <f>U117+V117</f>
        <v>0</v>
      </c>
      <c r="U117" s="1040">
        <v>0</v>
      </c>
      <c r="V117" s="1040">
        <v>0</v>
      </c>
    </row>
    <row r="118" spans="1:22" s="419" customFormat="1" ht="14.25" customHeight="1">
      <c r="A118" s="968"/>
      <c r="B118" s="974"/>
      <c r="C118" s="1042"/>
      <c r="D118" s="972"/>
      <c r="E118" s="1044"/>
      <c r="F118" s="968"/>
      <c r="G118" s="418">
        <v>690697</v>
      </c>
      <c r="H118" s="418">
        <v>75571</v>
      </c>
      <c r="I118" s="1039"/>
      <c r="J118" s="1039"/>
      <c r="K118" s="1040"/>
      <c r="L118" s="1040"/>
      <c r="M118" s="1039"/>
      <c r="N118" s="1039"/>
      <c r="O118" s="1040"/>
      <c r="P118" s="1040"/>
      <c r="Q118" s="1039"/>
      <c r="R118" s="1040"/>
      <c r="S118" s="1040"/>
      <c r="T118" s="1039"/>
      <c r="U118" s="1040"/>
      <c r="V118" s="1040"/>
    </row>
    <row r="119" spans="1:22" s="419" customFormat="1" ht="14.25" customHeight="1">
      <c r="A119" s="968"/>
      <c r="B119" s="974"/>
      <c r="C119" s="1042"/>
      <c r="D119" s="972"/>
      <c r="E119" s="1044"/>
      <c r="F119" s="968"/>
      <c r="G119" s="418">
        <v>0</v>
      </c>
      <c r="H119" s="418">
        <v>0</v>
      </c>
      <c r="I119" s="1039"/>
      <c r="J119" s="1039"/>
      <c r="K119" s="1040"/>
      <c r="L119" s="1040"/>
      <c r="M119" s="1039"/>
      <c r="N119" s="1039"/>
      <c r="O119" s="1040"/>
      <c r="P119" s="1040"/>
      <c r="Q119" s="1039"/>
      <c r="R119" s="1040"/>
      <c r="S119" s="1040"/>
      <c r="T119" s="1039"/>
      <c r="U119" s="1040"/>
      <c r="V119" s="1040"/>
    </row>
    <row r="120" spans="1:22" s="419" customFormat="1" ht="14.25" customHeight="1">
      <c r="A120" s="968"/>
      <c r="B120" s="974"/>
      <c r="C120" s="1042"/>
      <c r="D120" s="972"/>
      <c r="E120" s="1044"/>
      <c r="F120" s="968"/>
      <c r="G120" s="418">
        <v>121888</v>
      </c>
      <c r="H120" s="418">
        <v>13338</v>
      </c>
      <c r="I120" s="1039"/>
      <c r="J120" s="1039"/>
      <c r="K120" s="1040"/>
      <c r="L120" s="1040"/>
      <c r="M120" s="1039"/>
      <c r="N120" s="1039"/>
      <c r="O120" s="1040"/>
      <c r="P120" s="1040"/>
      <c r="Q120" s="1039"/>
      <c r="R120" s="1040"/>
      <c r="S120" s="1040"/>
      <c r="T120" s="1039"/>
      <c r="U120" s="1040"/>
      <c r="V120" s="1040"/>
    </row>
    <row r="121" spans="1:22" s="419" customFormat="1" ht="14.25" customHeight="1">
      <c r="A121" s="968"/>
      <c r="B121" s="975"/>
      <c r="C121" s="1043"/>
      <c r="D121" s="972"/>
      <c r="E121" s="1044"/>
      <c r="F121" s="968"/>
      <c r="G121" s="418">
        <v>0</v>
      </c>
      <c r="H121" s="418">
        <v>0</v>
      </c>
      <c r="I121" s="1039"/>
      <c r="J121" s="1039"/>
      <c r="K121" s="1040"/>
      <c r="L121" s="1040"/>
      <c r="M121" s="1039"/>
      <c r="N121" s="1039"/>
      <c r="O121" s="1040"/>
      <c r="P121" s="1040"/>
      <c r="Q121" s="1039"/>
      <c r="R121" s="1040"/>
      <c r="S121" s="1040"/>
      <c r="T121" s="1039"/>
      <c r="U121" s="1040"/>
      <c r="V121" s="1040"/>
    </row>
    <row r="122" spans="1:22" s="419" customFormat="1" ht="15" customHeight="1">
      <c r="A122" s="968">
        <v>22</v>
      </c>
      <c r="B122" s="973" t="s">
        <v>740</v>
      </c>
      <c r="C122" s="1041" t="s">
        <v>751</v>
      </c>
      <c r="D122" s="972" t="s">
        <v>502</v>
      </c>
      <c r="E122" s="1044" t="s">
        <v>739</v>
      </c>
      <c r="F122" s="968" t="s">
        <v>515</v>
      </c>
      <c r="G122" s="418">
        <f>G123+G124+G125+G126</f>
        <v>805853</v>
      </c>
      <c r="H122" s="418">
        <f>H123+H124+H125+H126</f>
        <v>62240</v>
      </c>
      <c r="I122" s="1039">
        <f>J122+M122</f>
        <v>263079</v>
      </c>
      <c r="J122" s="1039">
        <f>K122+L122</f>
        <v>223617</v>
      </c>
      <c r="K122" s="1040">
        <v>223617</v>
      </c>
      <c r="L122" s="1040">
        <v>0</v>
      </c>
      <c r="M122" s="1039">
        <f>N122+Q122+T122</f>
        <v>39462</v>
      </c>
      <c r="N122" s="1039">
        <f>O122+P122</f>
        <v>0</v>
      </c>
      <c r="O122" s="1040">
        <v>0</v>
      </c>
      <c r="P122" s="1040">
        <v>0</v>
      </c>
      <c r="Q122" s="1039">
        <f>R122+S122</f>
        <v>39462</v>
      </c>
      <c r="R122" s="1040">
        <v>39462</v>
      </c>
      <c r="S122" s="1040">
        <v>0</v>
      </c>
      <c r="T122" s="1039">
        <f>U122+V122</f>
        <v>0</v>
      </c>
      <c r="U122" s="1040">
        <v>0</v>
      </c>
      <c r="V122" s="1040">
        <v>0</v>
      </c>
    </row>
    <row r="123" spans="1:22" s="419" customFormat="1" ht="15" customHeight="1">
      <c r="A123" s="968"/>
      <c r="B123" s="974"/>
      <c r="C123" s="1042"/>
      <c r="D123" s="972"/>
      <c r="E123" s="1044"/>
      <c r="F123" s="968"/>
      <c r="G123" s="418">
        <v>684974</v>
      </c>
      <c r="H123" s="418">
        <v>52903</v>
      </c>
      <c r="I123" s="1039"/>
      <c r="J123" s="1039"/>
      <c r="K123" s="1040"/>
      <c r="L123" s="1040"/>
      <c r="M123" s="1039"/>
      <c r="N123" s="1039"/>
      <c r="O123" s="1040"/>
      <c r="P123" s="1040"/>
      <c r="Q123" s="1039"/>
      <c r="R123" s="1040"/>
      <c r="S123" s="1040"/>
      <c r="T123" s="1039"/>
      <c r="U123" s="1040"/>
      <c r="V123" s="1040"/>
    </row>
    <row r="124" spans="1:22" s="419" customFormat="1" ht="15" customHeight="1">
      <c r="A124" s="968"/>
      <c r="B124" s="974"/>
      <c r="C124" s="1042"/>
      <c r="D124" s="972"/>
      <c r="E124" s="1044"/>
      <c r="F124" s="968"/>
      <c r="G124" s="418">
        <v>0</v>
      </c>
      <c r="H124" s="418">
        <v>0</v>
      </c>
      <c r="I124" s="1039"/>
      <c r="J124" s="1039"/>
      <c r="K124" s="1040"/>
      <c r="L124" s="1040"/>
      <c r="M124" s="1039"/>
      <c r="N124" s="1039"/>
      <c r="O124" s="1040"/>
      <c r="P124" s="1040"/>
      <c r="Q124" s="1039"/>
      <c r="R124" s="1040"/>
      <c r="S124" s="1040"/>
      <c r="T124" s="1039"/>
      <c r="U124" s="1040"/>
      <c r="V124" s="1040"/>
    </row>
    <row r="125" spans="1:22" s="419" customFormat="1" ht="15" customHeight="1">
      <c r="A125" s="968"/>
      <c r="B125" s="974"/>
      <c r="C125" s="1042"/>
      <c r="D125" s="972"/>
      <c r="E125" s="1044"/>
      <c r="F125" s="968"/>
      <c r="G125" s="418">
        <v>120879</v>
      </c>
      <c r="H125" s="418">
        <v>9337</v>
      </c>
      <c r="I125" s="1039"/>
      <c r="J125" s="1039"/>
      <c r="K125" s="1040"/>
      <c r="L125" s="1040"/>
      <c r="M125" s="1039"/>
      <c r="N125" s="1039"/>
      <c r="O125" s="1040"/>
      <c r="P125" s="1040"/>
      <c r="Q125" s="1039"/>
      <c r="R125" s="1040"/>
      <c r="S125" s="1040"/>
      <c r="T125" s="1039"/>
      <c r="U125" s="1040"/>
      <c r="V125" s="1040"/>
    </row>
    <row r="126" spans="1:22" s="419" customFormat="1" ht="15" customHeight="1">
      <c r="A126" s="968"/>
      <c r="B126" s="975"/>
      <c r="C126" s="1043"/>
      <c r="D126" s="972"/>
      <c r="E126" s="1044"/>
      <c r="F126" s="968"/>
      <c r="G126" s="418">
        <v>0</v>
      </c>
      <c r="H126" s="418">
        <v>0</v>
      </c>
      <c r="I126" s="1039"/>
      <c r="J126" s="1039"/>
      <c r="K126" s="1040"/>
      <c r="L126" s="1040"/>
      <c r="M126" s="1039"/>
      <c r="N126" s="1039"/>
      <c r="O126" s="1040"/>
      <c r="P126" s="1040"/>
      <c r="Q126" s="1039"/>
      <c r="R126" s="1040"/>
      <c r="S126" s="1040"/>
      <c r="T126" s="1039"/>
      <c r="U126" s="1040"/>
      <c r="V126" s="1040"/>
    </row>
    <row r="127" spans="1:22" s="419" customFormat="1" ht="14.25" customHeight="1">
      <c r="A127" s="968">
        <v>23</v>
      </c>
      <c r="B127" s="973" t="s">
        <v>740</v>
      </c>
      <c r="C127" s="1041" t="s">
        <v>752</v>
      </c>
      <c r="D127" s="972" t="s">
        <v>502</v>
      </c>
      <c r="E127" s="1044" t="s">
        <v>739</v>
      </c>
      <c r="F127" s="968" t="s">
        <v>515</v>
      </c>
      <c r="G127" s="418">
        <f>G128+G129+G130+G131</f>
        <v>824624</v>
      </c>
      <c r="H127" s="418">
        <f>H128+H129+H130+H131</f>
        <v>70596</v>
      </c>
      <c r="I127" s="1039">
        <f>J127+M127</f>
        <v>305180</v>
      </c>
      <c r="J127" s="1039">
        <f>K127+L127</f>
        <v>259403</v>
      </c>
      <c r="K127" s="1040">
        <v>259403</v>
      </c>
      <c r="L127" s="1040">
        <v>0</v>
      </c>
      <c r="M127" s="1039">
        <f>N127+Q127+T127</f>
        <v>45777</v>
      </c>
      <c r="N127" s="1039">
        <f>O127+P127</f>
        <v>0</v>
      </c>
      <c r="O127" s="1040">
        <v>0</v>
      </c>
      <c r="P127" s="1040">
        <v>0</v>
      </c>
      <c r="Q127" s="1039">
        <f>R127+S127</f>
        <v>45777</v>
      </c>
      <c r="R127" s="1040">
        <v>45777</v>
      </c>
      <c r="S127" s="1040">
        <v>0</v>
      </c>
      <c r="T127" s="1039">
        <f>U127+V127</f>
        <v>0</v>
      </c>
      <c r="U127" s="1040">
        <v>0</v>
      </c>
      <c r="V127" s="1040">
        <v>0</v>
      </c>
    </row>
    <row r="128" spans="1:22" s="419" customFormat="1" ht="14.25" customHeight="1">
      <c r="A128" s="968"/>
      <c r="B128" s="974"/>
      <c r="C128" s="1042"/>
      <c r="D128" s="972"/>
      <c r="E128" s="1044"/>
      <c r="F128" s="968"/>
      <c r="G128" s="418">
        <v>700930</v>
      </c>
      <c r="H128" s="418">
        <v>60006</v>
      </c>
      <c r="I128" s="1039"/>
      <c r="J128" s="1039"/>
      <c r="K128" s="1040"/>
      <c r="L128" s="1040"/>
      <c r="M128" s="1039"/>
      <c r="N128" s="1039"/>
      <c r="O128" s="1040"/>
      <c r="P128" s="1040"/>
      <c r="Q128" s="1039"/>
      <c r="R128" s="1040"/>
      <c r="S128" s="1040"/>
      <c r="T128" s="1039"/>
      <c r="U128" s="1040"/>
      <c r="V128" s="1040"/>
    </row>
    <row r="129" spans="1:22" s="419" customFormat="1" ht="14.25" customHeight="1">
      <c r="A129" s="968"/>
      <c r="B129" s="974"/>
      <c r="C129" s="1042"/>
      <c r="D129" s="972"/>
      <c r="E129" s="1044"/>
      <c r="F129" s="968"/>
      <c r="G129" s="418">
        <v>0</v>
      </c>
      <c r="H129" s="418">
        <v>0</v>
      </c>
      <c r="I129" s="1039"/>
      <c r="J129" s="1039"/>
      <c r="K129" s="1040"/>
      <c r="L129" s="1040"/>
      <c r="M129" s="1039"/>
      <c r="N129" s="1039"/>
      <c r="O129" s="1040"/>
      <c r="P129" s="1040"/>
      <c r="Q129" s="1039"/>
      <c r="R129" s="1040"/>
      <c r="S129" s="1040"/>
      <c r="T129" s="1039"/>
      <c r="U129" s="1040"/>
      <c r="V129" s="1040"/>
    </row>
    <row r="130" spans="1:22" s="419" customFormat="1" ht="14.25" customHeight="1">
      <c r="A130" s="968"/>
      <c r="B130" s="974"/>
      <c r="C130" s="1042"/>
      <c r="D130" s="972"/>
      <c r="E130" s="1044"/>
      <c r="F130" s="968"/>
      <c r="G130" s="418">
        <v>123694</v>
      </c>
      <c r="H130" s="418">
        <v>10590</v>
      </c>
      <c r="I130" s="1039"/>
      <c r="J130" s="1039"/>
      <c r="K130" s="1040"/>
      <c r="L130" s="1040"/>
      <c r="M130" s="1039"/>
      <c r="N130" s="1039"/>
      <c r="O130" s="1040"/>
      <c r="P130" s="1040"/>
      <c r="Q130" s="1039"/>
      <c r="R130" s="1040"/>
      <c r="S130" s="1040"/>
      <c r="T130" s="1039"/>
      <c r="U130" s="1040"/>
      <c r="V130" s="1040"/>
    </row>
    <row r="131" spans="1:22" s="419" customFormat="1" ht="14.25" customHeight="1">
      <c r="A131" s="968"/>
      <c r="B131" s="975"/>
      <c r="C131" s="1043"/>
      <c r="D131" s="972"/>
      <c r="E131" s="1044"/>
      <c r="F131" s="968"/>
      <c r="G131" s="418">
        <v>0</v>
      </c>
      <c r="H131" s="418">
        <v>0</v>
      </c>
      <c r="I131" s="1039"/>
      <c r="J131" s="1039"/>
      <c r="K131" s="1040"/>
      <c r="L131" s="1040"/>
      <c r="M131" s="1039"/>
      <c r="N131" s="1039"/>
      <c r="O131" s="1040"/>
      <c r="P131" s="1040"/>
      <c r="Q131" s="1039"/>
      <c r="R131" s="1040"/>
      <c r="S131" s="1040"/>
      <c r="T131" s="1039"/>
      <c r="U131" s="1040"/>
      <c r="V131" s="1040"/>
    </row>
    <row r="132" spans="1:22" s="420" customFormat="1" ht="15">
      <c r="A132" s="1030" t="s">
        <v>480</v>
      </c>
      <c r="B132" s="1031"/>
      <c r="C132" s="1031"/>
      <c r="D132" s="1031"/>
      <c r="E132" s="1031"/>
      <c r="F132" s="1032"/>
      <c r="G132" s="412">
        <f>G107+G102+G97+G92+G87+G82+G77+G72+G67+G62+G57+G52+G47+G42+G37+G27+G22+G17+G112+G117+G122+G127+G32</f>
        <v>134147400</v>
      </c>
      <c r="H132" s="412">
        <f>H107+H102+H97+H92+H87+H82+H77+H72+H67+H62+H57+H52+H47+H42+H37+H27+H22+H17+H112+H117+H122+H127+H32</f>
        <v>43636455</v>
      </c>
      <c r="I132" s="1029">
        <f>SUM(I17:I131)</f>
        <v>37434966</v>
      </c>
      <c r="J132" s="1029">
        <f aca="true" t="shared" si="0" ref="J132:V132">SUM(J17:J131)</f>
        <v>25747630</v>
      </c>
      <c r="K132" s="1029">
        <f t="shared" si="0"/>
        <v>14608560</v>
      </c>
      <c r="L132" s="1029">
        <f t="shared" si="0"/>
        <v>11139070</v>
      </c>
      <c r="M132" s="1029">
        <f t="shared" si="0"/>
        <v>11687336</v>
      </c>
      <c r="N132" s="1029">
        <f t="shared" si="0"/>
        <v>4959947</v>
      </c>
      <c r="O132" s="1029">
        <f t="shared" si="0"/>
        <v>4959947</v>
      </c>
      <c r="P132" s="1029">
        <f t="shared" si="0"/>
        <v>0</v>
      </c>
      <c r="Q132" s="1029">
        <f t="shared" si="0"/>
        <v>6008677</v>
      </c>
      <c r="R132" s="1029">
        <f t="shared" si="0"/>
        <v>1034068</v>
      </c>
      <c r="S132" s="1029">
        <f t="shared" si="0"/>
        <v>4974609</v>
      </c>
      <c r="T132" s="1029">
        <f t="shared" si="0"/>
        <v>718712</v>
      </c>
      <c r="U132" s="1029">
        <f t="shared" si="0"/>
        <v>718712</v>
      </c>
      <c r="V132" s="1029">
        <f t="shared" si="0"/>
        <v>0</v>
      </c>
    </row>
    <row r="133" spans="1:22" s="420" customFormat="1" ht="15">
      <c r="A133" s="1033"/>
      <c r="B133" s="1034"/>
      <c r="C133" s="1034"/>
      <c r="D133" s="1034"/>
      <c r="E133" s="1034"/>
      <c r="F133" s="1035"/>
      <c r="G133" s="412">
        <f aca="true" t="shared" si="1" ref="G133:H136">G108+G103+G98+G93+G88+G83+G78+G73+G68+G63+G58+G53+G48+G43+G38+G28+G23+G18+G113+G118+G123+G128+G33</f>
        <v>85448953</v>
      </c>
      <c r="H133" s="412">
        <f t="shared" si="1"/>
        <v>31583277</v>
      </c>
      <c r="I133" s="1029"/>
      <c r="J133" s="1029"/>
      <c r="K133" s="1029"/>
      <c r="L133" s="1029"/>
      <c r="M133" s="1029"/>
      <c r="N133" s="1029"/>
      <c r="O133" s="1029"/>
      <c r="P133" s="1029"/>
      <c r="Q133" s="1029"/>
      <c r="R133" s="1029"/>
      <c r="S133" s="1029"/>
      <c r="T133" s="1029"/>
      <c r="U133" s="1029"/>
      <c r="V133" s="1029"/>
    </row>
    <row r="134" spans="1:22" s="420" customFormat="1" ht="15">
      <c r="A134" s="1033"/>
      <c r="B134" s="1034"/>
      <c r="C134" s="1034"/>
      <c r="D134" s="1034"/>
      <c r="E134" s="1034"/>
      <c r="F134" s="1035"/>
      <c r="G134" s="412">
        <f t="shared" si="1"/>
        <v>25732750</v>
      </c>
      <c r="H134" s="412">
        <f t="shared" si="1"/>
        <v>8776996</v>
      </c>
      <c r="I134" s="1029"/>
      <c r="J134" s="1029"/>
      <c r="K134" s="1029"/>
      <c r="L134" s="1029"/>
      <c r="M134" s="1029"/>
      <c r="N134" s="1029"/>
      <c r="O134" s="1029"/>
      <c r="P134" s="1029"/>
      <c r="Q134" s="1029"/>
      <c r="R134" s="1029"/>
      <c r="S134" s="1029"/>
      <c r="T134" s="1029"/>
      <c r="U134" s="1029"/>
      <c r="V134" s="1029"/>
    </row>
    <row r="135" spans="1:22" s="420" customFormat="1" ht="15">
      <c r="A135" s="1033"/>
      <c r="B135" s="1034"/>
      <c r="C135" s="1034"/>
      <c r="D135" s="1034"/>
      <c r="E135" s="1034"/>
      <c r="F135" s="1035"/>
      <c r="G135" s="412">
        <f t="shared" si="1"/>
        <v>20498867</v>
      </c>
      <c r="H135" s="412">
        <f t="shared" si="1"/>
        <v>2076997</v>
      </c>
      <c r="I135" s="1029"/>
      <c r="J135" s="1029"/>
      <c r="K135" s="1029"/>
      <c r="L135" s="1029"/>
      <c r="M135" s="1029"/>
      <c r="N135" s="1029"/>
      <c r="O135" s="1029"/>
      <c r="P135" s="1029"/>
      <c r="Q135" s="1029"/>
      <c r="R135" s="1029"/>
      <c r="S135" s="1029"/>
      <c r="T135" s="1029"/>
      <c r="U135" s="1029"/>
      <c r="V135" s="1029"/>
    </row>
    <row r="136" spans="1:22" s="420" customFormat="1" ht="15">
      <c r="A136" s="1036"/>
      <c r="B136" s="1037"/>
      <c r="C136" s="1037"/>
      <c r="D136" s="1037"/>
      <c r="E136" s="1037"/>
      <c r="F136" s="1038"/>
      <c r="G136" s="412">
        <f t="shared" si="1"/>
        <v>2466830</v>
      </c>
      <c r="H136" s="412">
        <f t="shared" si="1"/>
        <v>1199185</v>
      </c>
      <c r="I136" s="1029"/>
      <c r="J136" s="1029"/>
      <c r="K136" s="1029"/>
      <c r="L136" s="1029"/>
      <c r="M136" s="1029"/>
      <c r="N136" s="1029"/>
      <c r="O136" s="1029"/>
      <c r="P136" s="1029"/>
      <c r="Q136" s="1029"/>
      <c r="R136" s="1029"/>
      <c r="S136" s="1029"/>
      <c r="T136" s="1029"/>
      <c r="U136" s="1029"/>
      <c r="V136" s="1029"/>
    </row>
  </sheetData>
  <sheetProtection password="C25B" sheet="1"/>
  <mergeCells count="507">
    <mergeCell ref="A5:V5"/>
    <mergeCell ref="A7:A12"/>
    <mergeCell ref="B7:B12"/>
    <mergeCell ref="C7:C12"/>
    <mergeCell ref="D7:D12"/>
    <mergeCell ref="E7:E12"/>
    <mergeCell ref="R11:R12"/>
    <mergeCell ref="S11:S12"/>
    <mergeCell ref="H7:H8"/>
    <mergeCell ref="I7:V8"/>
    <mergeCell ref="U11:U12"/>
    <mergeCell ref="V11:V12"/>
    <mergeCell ref="A15:V15"/>
    <mergeCell ref="K11:K12"/>
    <mergeCell ref="L11:L12"/>
    <mergeCell ref="T10:V10"/>
    <mergeCell ref="J11:J12"/>
    <mergeCell ref="T11:T12"/>
    <mergeCell ref="N10:P10"/>
    <mergeCell ref="Q10:S10"/>
    <mergeCell ref="F7:F12"/>
    <mergeCell ref="G7:G8"/>
    <mergeCell ref="A16:V16"/>
    <mergeCell ref="N11:N12"/>
    <mergeCell ref="O11:O12"/>
    <mergeCell ref="P11:P12"/>
    <mergeCell ref="Q11:Q12"/>
    <mergeCell ref="I9:I12"/>
    <mergeCell ref="J9:L10"/>
    <mergeCell ref="M9:M12"/>
    <mergeCell ref="N9:V9"/>
    <mergeCell ref="A14:V14"/>
    <mergeCell ref="A17:A21"/>
    <mergeCell ref="B17:B21"/>
    <mergeCell ref="C17:C21"/>
    <mergeCell ref="D17:D21"/>
    <mergeCell ref="E17:E21"/>
    <mergeCell ref="F17:F21"/>
    <mergeCell ref="I17:I21"/>
    <mergeCell ref="J17:J21"/>
    <mergeCell ref="K17:K21"/>
    <mergeCell ref="L17:L21"/>
    <mergeCell ref="M17:M21"/>
    <mergeCell ref="N17:N21"/>
    <mergeCell ref="O17:O21"/>
    <mergeCell ref="P17:P21"/>
    <mergeCell ref="Q17:Q21"/>
    <mergeCell ref="R17:R21"/>
    <mergeCell ref="S17:S21"/>
    <mergeCell ref="T17:T21"/>
    <mergeCell ref="U17:U21"/>
    <mergeCell ref="V17:V21"/>
    <mergeCell ref="A22:A26"/>
    <mergeCell ref="B22:B26"/>
    <mergeCell ref="C22:C26"/>
    <mergeCell ref="D22:D26"/>
    <mergeCell ref="E22:E26"/>
    <mergeCell ref="F22:F26"/>
    <mergeCell ref="I22:I26"/>
    <mergeCell ref="J22:J26"/>
    <mergeCell ref="K22:K26"/>
    <mergeCell ref="L22:L26"/>
    <mergeCell ref="M22:M26"/>
    <mergeCell ref="N22:N26"/>
    <mergeCell ref="O22:O26"/>
    <mergeCell ref="P22:P26"/>
    <mergeCell ref="Q22:Q26"/>
    <mergeCell ref="R22:R26"/>
    <mergeCell ref="S22:S26"/>
    <mergeCell ref="T22:T26"/>
    <mergeCell ref="U22:U26"/>
    <mergeCell ref="V22:V26"/>
    <mergeCell ref="A27:A31"/>
    <mergeCell ref="B27:B31"/>
    <mergeCell ref="C27:C31"/>
    <mergeCell ref="D27:D31"/>
    <mergeCell ref="E27:E31"/>
    <mergeCell ref="F27:F31"/>
    <mergeCell ref="I27:I31"/>
    <mergeCell ref="J27:J31"/>
    <mergeCell ref="K27:K31"/>
    <mergeCell ref="L27:L31"/>
    <mergeCell ref="M27:M31"/>
    <mergeCell ref="N27:N31"/>
    <mergeCell ref="O27:O31"/>
    <mergeCell ref="P27:P31"/>
    <mergeCell ref="Q27:Q31"/>
    <mergeCell ref="R27:R31"/>
    <mergeCell ref="S27:S31"/>
    <mergeCell ref="T27:T31"/>
    <mergeCell ref="U27:U31"/>
    <mergeCell ref="V27:V31"/>
    <mergeCell ref="A32:A36"/>
    <mergeCell ref="B32:B36"/>
    <mergeCell ref="C32:C36"/>
    <mergeCell ref="D32:D36"/>
    <mergeCell ref="E32:E36"/>
    <mergeCell ref="F32:F36"/>
    <mergeCell ref="I32:I36"/>
    <mergeCell ref="J32:J36"/>
    <mergeCell ref="K32:K36"/>
    <mergeCell ref="L32:L36"/>
    <mergeCell ref="M32:M36"/>
    <mergeCell ref="N32:N36"/>
    <mergeCell ref="O32:O36"/>
    <mergeCell ref="P32:P36"/>
    <mergeCell ref="Q32:Q36"/>
    <mergeCell ref="R32:R36"/>
    <mergeCell ref="S32:S36"/>
    <mergeCell ref="T32:T36"/>
    <mergeCell ref="U32:U36"/>
    <mergeCell ref="V32:V36"/>
    <mergeCell ref="A37:A41"/>
    <mergeCell ref="B37:B41"/>
    <mergeCell ref="C37:C41"/>
    <mergeCell ref="D37:D41"/>
    <mergeCell ref="E37:E41"/>
    <mergeCell ref="F37:F41"/>
    <mergeCell ref="I37:I41"/>
    <mergeCell ref="J37:J41"/>
    <mergeCell ref="K37:K41"/>
    <mergeCell ref="L37:L41"/>
    <mergeCell ref="M37:M41"/>
    <mergeCell ref="N37:N41"/>
    <mergeCell ref="O37:O41"/>
    <mergeCell ref="P37:P41"/>
    <mergeCell ref="Q37:Q41"/>
    <mergeCell ref="R37:R41"/>
    <mergeCell ref="S37:S41"/>
    <mergeCell ref="T37:T41"/>
    <mergeCell ref="U37:U41"/>
    <mergeCell ref="V37:V41"/>
    <mergeCell ref="A42:A46"/>
    <mergeCell ref="B42:B46"/>
    <mergeCell ref="C42:C46"/>
    <mergeCell ref="D42:D46"/>
    <mergeCell ref="E42:E46"/>
    <mergeCell ref="F42:F46"/>
    <mergeCell ref="I42:I46"/>
    <mergeCell ref="J42:J46"/>
    <mergeCell ref="K42:K46"/>
    <mergeCell ref="L42:L46"/>
    <mergeCell ref="M42:M46"/>
    <mergeCell ref="N42:N46"/>
    <mergeCell ref="O42:O46"/>
    <mergeCell ref="P42:P46"/>
    <mergeCell ref="Q42:Q46"/>
    <mergeCell ref="R42:R46"/>
    <mergeCell ref="S42:S46"/>
    <mergeCell ref="T42:T46"/>
    <mergeCell ref="U42:U46"/>
    <mergeCell ref="V42:V46"/>
    <mergeCell ref="A47:A51"/>
    <mergeCell ref="B47:B51"/>
    <mergeCell ref="C47:C51"/>
    <mergeCell ref="D47:D51"/>
    <mergeCell ref="E47:E51"/>
    <mergeCell ref="F47:F51"/>
    <mergeCell ref="I47:I51"/>
    <mergeCell ref="J47:J51"/>
    <mergeCell ref="K47:K51"/>
    <mergeCell ref="L47:L51"/>
    <mergeCell ref="M47:M51"/>
    <mergeCell ref="N47:N51"/>
    <mergeCell ref="O47:O51"/>
    <mergeCell ref="P47:P51"/>
    <mergeCell ref="Q47:Q51"/>
    <mergeCell ref="R47:R51"/>
    <mergeCell ref="S47:S51"/>
    <mergeCell ref="T47:T51"/>
    <mergeCell ref="U47:U51"/>
    <mergeCell ref="V47:V51"/>
    <mergeCell ref="A52:A56"/>
    <mergeCell ref="B52:B56"/>
    <mergeCell ref="C52:C56"/>
    <mergeCell ref="D52:D56"/>
    <mergeCell ref="E52:E56"/>
    <mergeCell ref="F52:F56"/>
    <mergeCell ref="I52:I56"/>
    <mergeCell ref="J52:J56"/>
    <mergeCell ref="K52:K56"/>
    <mergeCell ref="L52:L56"/>
    <mergeCell ref="M52:M56"/>
    <mergeCell ref="N52:N56"/>
    <mergeCell ref="O52:O56"/>
    <mergeCell ref="P52:P56"/>
    <mergeCell ref="Q52:Q56"/>
    <mergeCell ref="R52:R56"/>
    <mergeCell ref="S52:S56"/>
    <mergeCell ref="T52:T56"/>
    <mergeCell ref="U52:U56"/>
    <mergeCell ref="V52:V56"/>
    <mergeCell ref="A57:A61"/>
    <mergeCell ref="B57:B61"/>
    <mergeCell ref="C57:C61"/>
    <mergeCell ref="D57:D61"/>
    <mergeCell ref="E57:E61"/>
    <mergeCell ref="F57:F61"/>
    <mergeCell ref="I57:I61"/>
    <mergeCell ref="J57:J61"/>
    <mergeCell ref="K57:K61"/>
    <mergeCell ref="L57:L61"/>
    <mergeCell ref="M57:M61"/>
    <mergeCell ref="N57:N61"/>
    <mergeCell ref="O57:O61"/>
    <mergeCell ref="P57:P61"/>
    <mergeCell ref="Q57:Q61"/>
    <mergeCell ref="R57:R61"/>
    <mergeCell ref="S57:S61"/>
    <mergeCell ref="T57:T61"/>
    <mergeCell ref="U57:U61"/>
    <mergeCell ref="V57:V61"/>
    <mergeCell ref="A62:A66"/>
    <mergeCell ref="B62:B66"/>
    <mergeCell ref="C62:C66"/>
    <mergeCell ref="D62:D66"/>
    <mergeCell ref="E62:E66"/>
    <mergeCell ref="F62:F66"/>
    <mergeCell ref="I62:I66"/>
    <mergeCell ref="J62:J66"/>
    <mergeCell ref="K62:K66"/>
    <mergeCell ref="L62:L66"/>
    <mergeCell ref="M62:M66"/>
    <mergeCell ref="N62:N66"/>
    <mergeCell ref="O62:O66"/>
    <mergeCell ref="P62:P66"/>
    <mergeCell ref="Q62:Q66"/>
    <mergeCell ref="R62:R66"/>
    <mergeCell ref="S62:S66"/>
    <mergeCell ref="T62:T66"/>
    <mergeCell ref="U62:U66"/>
    <mergeCell ref="V62:V66"/>
    <mergeCell ref="A67:A71"/>
    <mergeCell ref="B67:B71"/>
    <mergeCell ref="C67:C71"/>
    <mergeCell ref="D67:D71"/>
    <mergeCell ref="E67:E71"/>
    <mergeCell ref="F67:F71"/>
    <mergeCell ref="I67:I71"/>
    <mergeCell ref="J67:J71"/>
    <mergeCell ref="K67:K71"/>
    <mergeCell ref="L67:L71"/>
    <mergeCell ref="M67:M71"/>
    <mergeCell ref="N67:N71"/>
    <mergeCell ref="O67:O71"/>
    <mergeCell ref="P67:P71"/>
    <mergeCell ref="Q67:Q71"/>
    <mergeCell ref="R67:R71"/>
    <mergeCell ref="S67:S71"/>
    <mergeCell ref="T67:T71"/>
    <mergeCell ref="U67:U71"/>
    <mergeCell ref="V67:V71"/>
    <mergeCell ref="A72:A76"/>
    <mergeCell ref="B72:B76"/>
    <mergeCell ref="C72:C76"/>
    <mergeCell ref="D72:D76"/>
    <mergeCell ref="E72:E76"/>
    <mergeCell ref="F72:F76"/>
    <mergeCell ref="I72:I76"/>
    <mergeCell ref="J72:J76"/>
    <mergeCell ref="K72:K76"/>
    <mergeCell ref="L72:L76"/>
    <mergeCell ref="M72:M76"/>
    <mergeCell ref="N72:N76"/>
    <mergeCell ref="O72:O76"/>
    <mergeCell ref="P72:P76"/>
    <mergeCell ref="Q72:Q76"/>
    <mergeCell ref="R72:R76"/>
    <mergeCell ref="S72:S76"/>
    <mergeCell ref="T72:T76"/>
    <mergeCell ref="U72:U76"/>
    <mergeCell ref="V72:V76"/>
    <mergeCell ref="A77:A81"/>
    <mergeCell ref="B77:B81"/>
    <mergeCell ref="C77:C81"/>
    <mergeCell ref="D77:D81"/>
    <mergeCell ref="E77:E81"/>
    <mergeCell ref="F77:F81"/>
    <mergeCell ref="I77:I81"/>
    <mergeCell ref="J77:J81"/>
    <mergeCell ref="K77:K81"/>
    <mergeCell ref="L77:L81"/>
    <mergeCell ref="M77:M81"/>
    <mergeCell ref="N77:N81"/>
    <mergeCell ref="O77:O81"/>
    <mergeCell ref="P77:P81"/>
    <mergeCell ref="Q77:Q81"/>
    <mergeCell ref="R77:R81"/>
    <mergeCell ref="S77:S81"/>
    <mergeCell ref="T77:T81"/>
    <mergeCell ref="U77:U81"/>
    <mergeCell ref="V77:V81"/>
    <mergeCell ref="A82:A86"/>
    <mergeCell ref="B82:B86"/>
    <mergeCell ref="C82:C86"/>
    <mergeCell ref="D82:D86"/>
    <mergeCell ref="E82:E86"/>
    <mergeCell ref="F82:F86"/>
    <mergeCell ref="I82:I86"/>
    <mergeCell ref="J82:J86"/>
    <mergeCell ref="K82:K86"/>
    <mergeCell ref="L82:L86"/>
    <mergeCell ref="M82:M86"/>
    <mergeCell ref="N82:N86"/>
    <mergeCell ref="O82:O86"/>
    <mergeCell ref="P82:P86"/>
    <mergeCell ref="Q82:Q86"/>
    <mergeCell ref="R82:R86"/>
    <mergeCell ref="S82:S86"/>
    <mergeCell ref="T82:T86"/>
    <mergeCell ref="U82:U86"/>
    <mergeCell ref="V82:V86"/>
    <mergeCell ref="A87:A91"/>
    <mergeCell ref="B87:B91"/>
    <mergeCell ref="C87:C91"/>
    <mergeCell ref="D87:D91"/>
    <mergeCell ref="E87:E91"/>
    <mergeCell ref="F87:F91"/>
    <mergeCell ref="I87:I91"/>
    <mergeCell ref="J87:J91"/>
    <mergeCell ref="K87:K91"/>
    <mergeCell ref="L87:L91"/>
    <mergeCell ref="M87:M91"/>
    <mergeCell ref="N87:N91"/>
    <mergeCell ref="O87:O91"/>
    <mergeCell ref="P87:P91"/>
    <mergeCell ref="Q87:Q91"/>
    <mergeCell ref="R87:R91"/>
    <mergeCell ref="S87:S91"/>
    <mergeCell ref="T87:T91"/>
    <mergeCell ref="U87:U91"/>
    <mergeCell ref="V87:V91"/>
    <mergeCell ref="A92:A96"/>
    <mergeCell ref="B92:B96"/>
    <mergeCell ref="C92:C96"/>
    <mergeCell ref="D92:D96"/>
    <mergeCell ref="E92:E96"/>
    <mergeCell ref="F92:F96"/>
    <mergeCell ref="I92:I96"/>
    <mergeCell ref="J92:J96"/>
    <mergeCell ref="K92:K96"/>
    <mergeCell ref="L92:L96"/>
    <mergeCell ref="M92:M96"/>
    <mergeCell ref="N92:N96"/>
    <mergeCell ref="O92:O96"/>
    <mergeCell ref="P92:P96"/>
    <mergeCell ref="Q92:Q96"/>
    <mergeCell ref="R92:R96"/>
    <mergeCell ref="S92:S96"/>
    <mergeCell ref="T92:T96"/>
    <mergeCell ref="U92:U96"/>
    <mergeCell ref="V92:V96"/>
    <mergeCell ref="A97:A101"/>
    <mergeCell ref="B97:B101"/>
    <mergeCell ref="C97:C101"/>
    <mergeCell ref="D97:D101"/>
    <mergeCell ref="E97:E101"/>
    <mergeCell ref="F97:F101"/>
    <mergeCell ref="I97:I101"/>
    <mergeCell ref="J97:J101"/>
    <mergeCell ref="K97:K101"/>
    <mergeCell ref="L97:L101"/>
    <mergeCell ref="M97:M101"/>
    <mergeCell ref="N97:N101"/>
    <mergeCell ref="O97:O101"/>
    <mergeCell ref="P97:P101"/>
    <mergeCell ref="Q97:Q101"/>
    <mergeCell ref="R97:R101"/>
    <mergeCell ref="S97:S101"/>
    <mergeCell ref="T97:T101"/>
    <mergeCell ref="U97:U101"/>
    <mergeCell ref="V97:V101"/>
    <mergeCell ref="A102:A106"/>
    <mergeCell ref="B102:B106"/>
    <mergeCell ref="C102:C106"/>
    <mergeCell ref="D102:D106"/>
    <mergeCell ref="E102:E106"/>
    <mergeCell ref="F102:F106"/>
    <mergeCell ref="I102:I106"/>
    <mergeCell ref="J102:J106"/>
    <mergeCell ref="K102:K106"/>
    <mergeCell ref="L102:L106"/>
    <mergeCell ref="M102:M106"/>
    <mergeCell ref="N102:N106"/>
    <mergeCell ref="O102:O106"/>
    <mergeCell ref="P102:P106"/>
    <mergeCell ref="Q102:Q106"/>
    <mergeCell ref="R102:R106"/>
    <mergeCell ref="S102:S106"/>
    <mergeCell ref="T102:T106"/>
    <mergeCell ref="U102:U106"/>
    <mergeCell ref="V102:V106"/>
    <mergeCell ref="A107:A111"/>
    <mergeCell ref="B107:B111"/>
    <mergeCell ref="C107:C111"/>
    <mergeCell ref="D107:D111"/>
    <mergeCell ref="E107:E111"/>
    <mergeCell ref="F107:F111"/>
    <mergeCell ref="I107:I111"/>
    <mergeCell ref="J107:J111"/>
    <mergeCell ref="K107:K111"/>
    <mergeCell ref="L107:L111"/>
    <mergeCell ref="M107:M111"/>
    <mergeCell ref="N107:N111"/>
    <mergeCell ref="O107:O111"/>
    <mergeCell ref="P107:P111"/>
    <mergeCell ref="Q107:Q111"/>
    <mergeCell ref="R107:R111"/>
    <mergeCell ref="S107:S111"/>
    <mergeCell ref="T107:T111"/>
    <mergeCell ref="U107:U111"/>
    <mergeCell ref="V107:V111"/>
    <mergeCell ref="A112:A116"/>
    <mergeCell ref="B112:B116"/>
    <mergeCell ref="C112:C116"/>
    <mergeCell ref="D112:D116"/>
    <mergeCell ref="E112:E116"/>
    <mergeCell ref="F112:F116"/>
    <mergeCell ref="I112:I116"/>
    <mergeCell ref="J112:J116"/>
    <mergeCell ref="K112:K116"/>
    <mergeCell ref="L112:L116"/>
    <mergeCell ref="M112:M116"/>
    <mergeCell ref="N112:N116"/>
    <mergeCell ref="O112:O116"/>
    <mergeCell ref="P112:P116"/>
    <mergeCell ref="Q112:Q116"/>
    <mergeCell ref="R112:R116"/>
    <mergeCell ref="S112:S116"/>
    <mergeCell ref="T112:T116"/>
    <mergeCell ref="U112:U116"/>
    <mergeCell ref="V112:V116"/>
    <mergeCell ref="A117:A121"/>
    <mergeCell ref="B117:B121"/>
    <mergeCell ref="C117:C121"/>
    <mergeCell ref="D117:D121"/>
    <mergeCell ref="E117:E121"/>
    <mergeCell ref="F117:F121"/>
    <mergeCell ref="I117:I121"/>
    <mergeCell ref="J117:J121"/>
    <mergeCell ref="K117:K121"/>
    <mergeCell ref="L117:L121"/>
    <mergeCell ref="M117:M121"/>
    <mergeCell ref="N117:N121"/>
    <mergeCell ref="O117:O121"/>
    <mergeCell ref="P117:P121"/>
    <mergeCell ref="Q117:Q121"/>
    <mergeCell ref="R117:R121"/>
    <mergeCell ref="S117:S121"/>
    <mergeCell ref="T117:T121"/>
    <mergeCell ref="U117:U121"/>
    <mergeCell ref="V117:V121"/>
    <mergeCell ref="A122:A126"/>
    <mergeCell ref="B122:B126"/>
    <mergeCell ref="C122:C126"/>
    <mergeCell ref="D122:D126"/>
    <mergeCell ref="E122:E126"/>
    <mergeCell ref="F122:F126"/>
    <mergeCell ref="I122:I126"/>
    <mergeCell ref="J122:J126"/>
    <mergeCell ref="K122:K126"/>
    <mergeCell ref="L122:L126"/>
    <mergeCell ref="M122:M126"/>
    <mergeCell ref="N122:N126"/>
    <mergeCell ref="O122:O126"/>
    <mergeCell ref="P122:P126"/>
    <mergeCell ref="Q122:Q126"/>
    <mergeCell ref="R122:R126"/>
    <mergeCell ref="S122:S126"/>
    <mergeCell ref="T122:T126"/>
    <mergeCell ref="U122:U126"/>
    <mergeCell ref="V122:V126"/>
    <mergeCell ref="A127:A131"/>
    <mergeCell ref="B127:B131"/>
    <mergeCell ref="C127:C131"/>
    <mergeCell ref="D127:D131"/>
    <mergeCell ref="E127:E131"/>
    <mergeCell ref="F127:F131"/>
    <mergeCell ref="I127:I131"/>
    <mergeCell ref="J127:J131"/>
    <mergeCell ref="K127:K131"/>
    <mergeCell ref="L127:L131"/>
    <mergeCell ref="M127:M131"/>
    <mergeCell ref="N127:N131"/>
    <mergeCell ref="O127:O131"/>
    <mergeCell ref="P127:P131"/>
    <mergeCell ref="Q127:Q131"/>
    <mergeCell ref="R127:R131"/>
    <mergeCell ref="S127:S131"/>
    <mergeCell ref="T127:T131"/>
    <mergeCell ref="U127:U131"/>
    <mergeCell ref="V127:V131"/>
    <mergeCell ref="A132:F136"/>
    <mergeCell ref="I132:I136"/>
    <mergeCell ref="J132:J136"/>
    <mergeCell ref="K132:K136"/>
    <mergeCell ref="L132:L136"/>
    <mergeCell ref="M132:M136"/>
    <mergeCell ref="N132:N136"/>
    <mergeCell ref="O132:O136"/>
    <mergeCell ref="V132:V136"/>
    <mergeCell ref="P132:P136"/>
    <mergeCell ref="Q132:Q136"/>
    <mergeCell ref="R132:R136"/>
    <mergeCell ref="S132:S136"/>
    <mergeCell ref="T132:T136"/>
    <mergeCell ref="U132:U136"/>
  </mergeCells>
  <printOptions horizontalCentered="1"/>
  <pageMargins left="0.2362204724409449" right="0.1968503937007874" top="0.984251968503937" bottom="0.7480314960629921" header="0.31496062992125984" footer="0.31496062992125984"/>
  <pageSetup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5"/>
  <sheetViews>
    <sheetView view="pageBreakPreview" zoomScaleSheetLayoutView="100" zoomScalePageLayoutView="0" workbookViewId="0" topLeftCell="A1">
      <selection activeCell="D22" sqref="D22"/>
    </sheetView>
  </sheetViews>
  <sheetFormatPr defaultColWidth="8.796875" defaultRowHeight="14.25"/>
  <cols>
    <col min="1" max="1" width="4.09765625" style="422" customWidth="1"/>
    <col min="2" max="2" width="6.19921875" style="259" customWidth="1"/>
    <col min="3" max="3" width="8.3984375" style="259" customWidth="1"/>
    <col min="4" max="4" width="38.5" style="259" customWidth="1"/>
    <col min="5" max="5" width="10.19921875" style="259" customWidth="1"/>
    <col min="6" max="6" width="11.8984375" style="259" customWidth="1"/>
    <col min="7" max="7" width="11.69921875" style="259" customWidth="1"/>
    <col min="8" max="8" width="12.09765625" style="259" customWidth="1"/>
    <col min="9" max="9" width="12.8984375" style="259" customWidth="1"/>
    <col min="10" max="10" width="12" style="259" customWidth="1"/>
    <col min="11" max="11" width="30.19921875" style="259" customWidth="1"/>
    <col min="12" max="16384" width="9" style="259" customWidth="1"/>
  </cols>
  <sheetData>
    <row r="1" ht="12.75">
      <c r="K1" s="141" t="s">
        <v>863</v>
      </c>
    </row>
    <row r="2" ht="12.75">
      <c r="K2" s="141" t="s">
        <v>864</v>
      </c>
    </row>
    <row r="3" ht="12.75">
      <c r="K3" s="141" t="s">
        <v>865</v>
      </c>
    </row>
    <row r="4" spans="1:11" s="423" customFormat="1" ht="18.75">
      <c r="A4" s="927" t="s">
        <v>755</v>
      </c>
      <c r="B4" s="927"/>
      <c r="C4" s="927"/>
      <c r="D4" s="927"/>
      <c r="E4" s="927"/>
      <c r="F4" s="927"/>
      <c r="G4" s="927"/>
      <c r="H4" s="927"/>
      <c r="I4" s="927"/>
      <c r="J4" s="927"/>
      <c r="K4" s="927"/>
    </row>
    <row r="5" spans="1:11" s="423" customFormat="1" ht="18.75">
      <c r="A5" s="927" t="s">
        <v>200</v>
      </c>
      <c r="B5" s="927"/>
      <c r="C5" s="927"/>
      <c r="D5" s="927"/>
      <c r="E5" s="927"/>
      <c r="F5" s="927"/>
      <c r="G5" s="927"/>
      <c r="H5" s="927"/>
      <c r="I5" s="927"/>
      <c r="J5" s="927"/>
      <c r="K5" s="927"/>
    </row>
    <row r="6" spans="6:11" ht="12.75">
      <c r="F6" s="424"/>
      <c r="K6" s="425" t="s">
        <v>70</v>
      </c>
    </row>
    <row r="7" spans="1:11" s="427" customFormat="1" ht="12.75" customHeight="1">
      <c r="A7" s="1069" t="s">
        <v>756</v>
      </c>
      <c r="B7" s="1069" t="s">
        <v>71</v>
      </c>
      <c r="C7" s="1069" t="s">
        <v>757</v>
      </c>
      <c r="D7" s="1069" t="s">
        <v>758</v>
      </c>
      <c r="E7" s="1069" t="s">
        <v>473</v>
      </c>
      <c r="F7" s="1069" t="s">
        <v>759</v>
      </c>
      <c r="G7" s="1069" t="s">
        <v>760</v>
      </c>
      <c r="H7" s="1075" t="s">
        <v>761</v>
      </c>
      <c r="I7" s="1076"/>
      <c r="J7" s="1076"/>
      <c r="K7" s="1069" t="s">
        <v>762</v>
      </c>
    </row>
    <row r="8" spans="1:11" s="427" customFormat="1" ht="12.75" customHeight="1">
      <c r="A8" s="1069"/>
      <c r="B8" s="1069"/>
      <c r="C8" s="1069"/>
      <c r="D8" s="1069"/>
      <c r="E8" s="1069"/>
      <c r="F8" s="1069"/>
      <c r="G8" s="1069"/>
      <c r="H8" s="1069" t="s">
        <v>763</v>
      </c>
      <c r="I8" s="1070" t="s">
        <v>764</v>
      </c>
      <c r="J8" s="1071"/>
      <c r="K8" s="1069"/>
    </row>
    <row r="9" spans="1:11" s="427" customFormat="1" ht="12.75" customHeight="1">
      <c r="A9" s="1069"/>
      <c r="B9" s="1069"/>
      <c r="C9" s="1069"/>
      <c r="D9" s="1069"/>
      <c r="E9" s="1069"/>
      <c r="F9" s="1069"/>
      <c r="G9" s="1069"/>
      <c r="H9" s="1069"/>
      <c r="I9" s="1072" t="s">
        <v>765</v>
      </c>
      <c r="J9" s="1072" t="s">
        <v>766</v>
      </c>
      <c r="K9" s="1069"/>
    </row>
    <row r="10" spans="1:11" s="428" customFormat="1" ht="42" customHeight="1">
      <c r="A10" s="1069"/>
      <c r="B10" s="1069"/>
      <c r="C10" s="1069"/>
      <c r="D10" s="1069"/>
      <c r="E10" s="1069"/>
      <c r="F10" s="1069"/>
      <c r="G10" s="1069"/>
      <c r="H10" s="1069"/>
      <c r="I10" s="1073"/>
      <c r="J10" s="1074"/>
      <c r="K10" s="1069"/>
    </row>
    <row r="11" spans="1:11" s="430" customFormat="1" ht="12.75">
      <c r="A11" s="429">
        <v>1</v>
      </c>
      <c r="B11" s="429">
        <v>2</v>
      </c>
      <c r="C11" s="429">
        <v>3</v>
      </c>
      <c r="D11" s="429">
        <v>4</v>
      </c>
      <c r="E11" s="429">
        <v>5</v>
      </c>
      <c r="F11" s="429">
        <v>6</v>
      </c>
      <c r="G11" s="429">
        <v>7</v>
      </c>
      <c r="H11" s="429">
        <v>8</v>
      </c>
      <c r="I11" s="429">
        <v>9</v>
      </c>
      <c r="J11" s="429">
        <v>10</v>
      </c>
      <c r="K11" s="429">
        <v>11</v>
      </c>
    </row>
    <row r="12" spans="1:11" ht="9" customHeight="1" thickBot="1">
      <c r="A12" s="431"/>
      <c r="B12" s="432"/>
      <c r="C12" s="432"/>
      <c r="D12" s="432"/>
      <c r="E12" s="432"/>
      <c r="F12" s="432"/>
      <c r="G12" s="432"/>
      <c r="H12" s="432"/>
      <c r="I12" s="432"/>
      <c r="J12" s="431"/>
      <c r="K12" s="432"/>
    </row>
    <row r="13" spans="1:11" s="437" customFormat="1" ht="17.25" thickBot="1">
      <c r="A13" s="433"/>
      <c r="B13" s="434"/>
      <c r="C13" s="434"/>
      <c r="D13" s="434" t="s">
        <v>238</v>
      </c>
      <c r="E13" s="434" t="s">
        <v>649</v>
      </c>
      <c r="F13" s="434" t="s">
        <v>649</v>
      </c>
      <c r="G13" s="434" t="s">
        <v>649</v>
      </c>
      <c r="H13" s="435">
        <f>H46+H85+H89+H93</f>
        <v>441519786</v>
      </c>
      <c r="I13" s="435">
        <f>I46+I85+I89+I93</f>
        <v>107884844</v>
      </c>
      <c r="J13" s="435">
        <f>J46+J85+J89+J93</f>
        <v>333634942</v>
      </c>
      <c r="K13" s="436" t="s">
        <v>649</v>
      </c>
    </row>
    <row r="14" spans="1:11" ht="9" customHeight="1" thickBot="1">
      <c r="A14" s="438"/>
      <c r="B14" s="432"/>
      <c r="C14" s="432"/>
      <c r="D14" s="439"/>
      <c r="E14" s="440"/>
      <c r="F14" s="432"/>
      <c r="G14" s="432"/>
      <c r="H14" s="432"/>
      <c r="I14" s="432"/>
      <c r="J14" s="431"/>
      <c r="K14" s="441"/>
    </row>
    <row r="15" spans="1:11" s="442" customFormat="1" ht="16.5" thickBot="1">
      <c r="A15" s="433" t="s">
        <v>767</v>
      </c>
      <c r="B15" s="1056" t="s">
        <v>768</v>
      </c>
      <c r="C15" s="1056"/>
      <c r="D15" s="1056"/>
      <c r="E15" s="1056"/>
      <c r="F15" s="1056"/>
      <c r="G15" s="1056"/>
      <c r="H15" s="1056"/>
      <c r="I15" s="1056"/>
      <c r="J15" s="1056"/>
      <c r="K15" s="1057"/>
    </row>
    <row r="16" spans="1:11" ht="9" customHeight="1" thickBot="1">
      <c r="A16" s="438"/>
      <c r="B16" s="443"/>
      <c r="C16" s="443"/>
      <c r="D16" s="432"/>
      <c r="E16" s="432"/>
      <c r="F16" s="432"/>
      <c r="G16" s="432"/>
      <c r="H16" s="432"/>
      <c r="I16" s="432"/>
      <c r="J16" s="431"/>
      <c r="K16" s="441"/>
    </row>
    <row r="17" spans="1:11" s="451" customFormat="1" ht="13.5" thickBot="1">
      <c r="A17" s="444"/>
      <c r="B17" s="445" t="s">
        <v>77</v>
      </c>
      <c r="C17" s="445"/>
      <c r="D17" s="446" t="s">
        <v>107</v>
      </c>
      <c r="E17" s="447" t="s">
        <v>649</v>
      </c>
      <c r="F17" s="448">
        <f>F18</f>
        <v>6000000</v>
      </c>
      <c r="G17" s="449" t="s">
        <v>649</v>
      </c>
      <c r="H17" s="448">
        <f>H18</f>
        <v>6000000</v>
      </c>
      <c r="I17" s="448">
        <f>I18</f>
        <v>6000000</v>
      </c>
      <c r="J17" s="448">
        <f>J18</f>
        <v>0</v>
      </c>
      <c r="K17" s="450" t="s">
        <v>649</v>
      </c>
    </row>
    <row r="18" spans="1:11" ht="39" thickBot="1">
      <c r="A18" s="452">
        <v>1</v>
      </c>
      <c r="B18" s="453"/>
      <c r="C18" s="454" t="s">
        <v>140</v>
      </c>
      <c r="D18" s="1" t="s">
        <v>769</v>
      </c>
      <c r="E18" s="455">
        <v>2019</v>
      </c>
      <c r="F18" s="456">
        <v>6000000</v>
      </c>
      <c r="G18" s="457" t="s">
        <v>649</v>
      </c>
      <c r="H18" s="456">
        <f>I18+J18</f>
        <v>6000000</v>
      </c>
      <c r="I18" s="456">
        <v>6000000</v>
      </c>
      <c r="J18" s="456"/>
      <c r="K18" s="458" t="s">
        <v>770</v>
      </c>
    </row>
    <row r="19" spans="1:11" s="451" customFormat="1" ht="13.5" thickBot="1">
      <c r="A19" s="444"/>
      <c r="B19" s="445" t="s">
        <v>80</v>
      </c>
      <c r="C19" s="445"/>
      <c r="D19" s="446" t="s">
        <v>81</v>
      </c>
      <c r="E19" s="447" t="s">
        <v>649</v>
      </c>
      <c r="F19" s="448">
        <f>F20+F21+F22</f>
        <v>15027234</v>
      </c>
      <c r="G19" s="449" t="s">
        <v>649</v>
      </c>
      <c r="H19" s="448">
        <f>H20+H21+H22</f>
        <v>15027234</v>
      </c>
      <c r="I19" s="448">
        <f>I20+I21+I22</f>
        <v>9027234</v>
      </c>
      <c r="J19" s="448">
        <f>J20+J21+J22</f>
        <v>6000000</v>
      </c>
      <c r="K19" s="450" t="s">
        <v>649</v>
      </c>
    </row>
    <row r="20" spans="1:11" ht="20.25" customHeight="1">
      <c r="A20" s="452">
        <v>2</v>
      </c>
      <c r="B20" s="453"/>
      <c r="C20" s="454" t="s">
        <v>256</v>
      </c>
      <c r="D20" s="1" t="s">
        <v>771</v>
      </c>
      <c r="E20" s="455">
        <v>2019</v>
      </c>
      <c r="F20" s="456">
        <v>11227234</v>
      </c>
      <c r="G20" s="457" t="s">
        <v>649</v>
      </c>
      <c r="H20" s="456">
        <f>I20+J20</f>
        <v>11227234</v>
      </c>
      <c r="I20" s="456">
        <v>5227234</v>
      </c>
      <c r="J20" s="456">
        <v>6000000</v>
      </c>
      <c r="K20" s="458" t="s">
        <v>772</v>
      </c>
    </row>
    <row r="21" spans="1:11" ht="21" customHeight="1">
      <c r="A21" s="452">
        <v>3</v>
      </c>
      <c r="B21" s="453"/>
      <c r="C21" s="454" t="s">
        <v>256</v>
      </c>
      <c r="D21" s="1" t="s">
        <v>773</v>
      </c>
      <c r="E21" s="455">
        <v>2019</v>
      </c>
      <c r="F21" s="456">
        <v>2000000</v>
      </c>
      <c r="G21" s="457" t="s">
        <v>649</v>
      </c>
      <c r="H21" s="456">
        <f>I21+J21</f>
        <v>2000000</v>
      </c>
      <c r="I21" s="456">
        <v>2000000</v>
      </c>
      <c r="J21" s="456">
        <v>0</v>
      </c>
      <c r="K21" s="458" t="s">
        <v>772</v>
      </c>
    </row>
    <row r="22" spans="1:11" ht="26.25" thickBot="1">
      <c r="A22" s="452">
        <v>4</v>
      </c>
      <c r="B22" s="453"/>
      <c r="C22" s="454" t="s">
        <v>256</v>
      </c>
      <c r="D22" s="1" t="s">
        <v>774</v>
      </c>
      <c r="E22" s="455">
        <v>2019</v>
      </c>
      <c r="F22" s="456">
        <v>1800000</v>
      </c>
      <c r="G22" s="457" t="s">
        <v>649</v>
      </c>
      <c r="H22" s="456">
        <f>I22+J22</f>
        <v>1800000</v>
      </c>
      <c r="I22" s="456">
        <v>1800000</v>
      </c>
      <c r="J22" s="456">
        <v>0</v>
      </c>
      <c r="K22" s="458" t="s">
        <v>772</v>
      </c>
    </row>
    <row r="23" spans="1:11" s="451" customFormat="1" ht="13.5" thickBot="1">
      <c r="A23" s="444"/>
      <c r="B23" s="445" t="s">
        <v>84</v>
      </c>
      <c r="C23" s="445"/>
      <c r="D23" s="446" t="s">
        <v>85</v>
      </c>
      <c r="E23" s="447" t="s">
        <v>649</v>
      </c>
      <c r="F23" s="448">
        <f>F24</f>
        <v>14000</v>
      </c>
      <c r="G23" s="449" t="s">
        <v>649</v>
      </c>
      <c r="H23" s="448">
        <f>H24</f>
        <v>14000</v>
      </c>
      <c r="I23" s="448">
        <f>I24</f>
        <v>14000</v>
      </c>
      <c r="J23" s="448">
        <f>J24</f>
        <v>0</v>
      </c>
      <c r="K23" s="450" t="s">
        <v>649</v>
      </c>
    </row>
    <row r="24" spans="1:11" ht="13.5" thickBot="1">
      <c r="A24" s="452">
        <v>5</v>
      </c>
      <c r="B24" s="453"/>
      <c r="C24" s="454" t="s">
        <v>269</v>
      </c>
      <c r="D24" s="1" t="s">
        <v>775</v>
      </c>
      <c r="E24" s="455">
        <v>2019</v>
      </c>
      <c r="F24" s="456">
        <v>14000</v>
      </c>
      <c r="G24" s="457" t="s">
        <v>649</v>
      </c>
      <c r="H24" s="456">
        <f>I24+J24</f>
        <v>14000</v>
      </c>
      <c r="I24" s="456">
        <v>14000</v>
      </c>
      <c r="J24" s="456">
        <v>0</v>
      </c>
      <c r="K24" s="458" t="s">
        <v>770</v>
      </c>
    </row>
    <row r="25" spans="1:11" s="451" customFormat="1" ht="13.5" thickBot="1">
      <c r="A25" s="444"/>
      <c r="B25" s="445" t="s">
        <v>88</v>
      </c>
      <c r="C25" s="445"/>
      <c r="D25" s="446" t="s">
        <v>89</v>
      </c>
      <c r="E25" s="447" t="s">
        <v>649</v>
      </c>
      <c r="F25" s="448">
        <f>F26</f>
        <v>250000</v>
      </c>
      <c r="G25" s="449" t="str">
        <f>G26</f>
        <v>x</v>
      </c>
      <c r="H25" s="448">
        <f>H26</f>
        <v>250000</v>
      </c>
      <c r="I25" s="448">
        <f>I26</f>
        <v>250000</v>
      </c>
      <c r="J25" s="448">
        <f>J26</f>
        <v>0</v>
      </c>
      <c r="K25" s="450" t="s">
        <v>649</v>
      </c>
    </row>
    <row r="26" spans="1:11" ht="13.5" thickBot="1">
      <c r="A26" s="452">
        <v>6</v>
      </c>
      <c r="B26" s="453"/>
      <c r="C26" s="454" t="s">
        <v>273</v>
      </c>
      <c r="D26" s="1" t="s">
        <v>776</v>
      </c>
      <c r="E26" s="455">
        <v>2019</v>
      </c>
      <c r="F26" s="456">
        <v>250000</v>
      </c>
      <c r="G26" s="457" t="s">
        <v>649</v>
      </c>
      <c r="H26" s="456">
        <f>I26+J26</f>
        <v>250000</v>
      </c>
      <c r="I26" s="456">
        <v>250000</v>
      </c>
      <c r="J26" s="456">
        <v>0</v>
      </c>
      <c r="K26" s="458" t="s">
        <v>770</v>
      </c>
    </row>
    <row r="27" spans="1:11" s="451" customFormat="1" ht="13.5" thickBot="1">
      <c r="A27" s="444"/>
      <c r="B27" s="445" t="s">
        <v>94</v>
      </c>
      <c r="C27" s="445"/>
      <c r="D27" s="446" t="s">
        <v>95</v>
      </c>
      <c r="E27" s="447" t="s">
        <v>649</v>
      </c>
      <c r="F27" s="448">
        <f>F28+F29+F30</f>
        <v>82000</v>
      </c>
      <c r="G27" s="449" t="s">
        <v>649</v>
      </c>
      <c r="H27" s="448">
        <f>H28+H29+H30</f>
        <v>82000</v>
      </c>
      <c r="I27" s="448">
        <f>I28+I29+I30</f>
        <v>82000</v>
      </c>
      <c r="J27" s="448">
        <f>J28+J29+J30</f>
        <v>0</v>
      </c>
      <c r="K27" s="450" t="s">
        <v>649</v>
      </c>
    </row>
    <row r="28" spans="1:11" ht="39.75" customHeight="1">
      <c r="A28" s="452">
        <v>7</v>
      </c>
      <c r="B28" s="453"/>
      <c r="C28" s="454" t="s">
        <v>298</v>
      </c>
      <c r="D28" s="1" t="s">
        <v>776</v>
      </c>
      <c r="E28" s="455">
        <v>2019</v>
      </c>
      <c r="F28" s="456">
        <v>16000</v>
      </c>
      <c r="G28" s="457" t="s">
        <v>649</v>
      </c>
      <c r="H28" s="456">
        <f>I28+J28</f>
        <v>16000</v>
      </c>
      <c r="I28" s="456">
        <v>16000</v>
      </c>
      <c r="J28" s="456">
        <v>0</v>
      </c>
      <c r="K28" s="459" t="s">
        <v>777</v>
      </c>
    </row>
    <row r="29" spans="1:11" ht="25.5">
      <c r="A29" s="452">
        <v>8</v>
      </c>
      <c r="B29" s="453"/>
      <c r="C29" s="454" t="s">
        <v>303</v>
      </c>
      <c r="D29" s="1" t="s">
        <v>778</v>
      </c>
      <c r="E29" s="455">
        <v>2019</v>
      </c>
      <c r="F29" s="456">
        <v>38000</v>
      </c>
      <c r="G29" s="457" t="s">
        <v>649</v>
      </c>
      <c r="H29" s="456">
        <f>I29+J29</f>
        <v>38000</v>
      </c>
      <c r="I29" s="456">
        <v>38000</v>
      </c>
      <c r="J29" s="456">
        <v>0</v>
      </c>
      <c r="K29" s="459" t="s">
        <v>779</v>
      </c>
    </row>
    <row r="30" spans="1:11" ht="26.25" thickBot="1">
      <c r="A30" s="452">
        <v>9</v>
      </c>
      <c r="B30" s="453"/>
      <c r="C30" s="454" t="s">
        <v>303</v>
      </c>
      <c r="D30" s="1" t="s">
        <v>778</v>
      </c>
      <c r="E30" s="455">
        <v>2019</v>
      </c>
      <c r="F30" s="456">
        <v>28000</v>
      </c>
      <c r="G30" s="457" t="s">
        <v>649</v>
      </c>
      <c r="H30" s="456">
        <f>I30+J30</f>
        <v>28000</v>
      </c>
      <c r="I30" s="456">
        <v>28000</v>
      </c>
      <c r="J30" s="456">
        <v>0</v>
      </c>
      <c r="K30" s="459" t="s">
        <v>780</v>
      </c>
    </row>
    <row r="31" spans="1:11" s="451" customFormat="1" ht="13.5" thickBot="1">
      <c r="A31" s="444"/>
      <c r="B31" s="445" t="s">
        <v>60</v>
      </c>
      <c r="C31" s="445"/>
      <c r="D31" s="446" t="s">
        <v>98</v>
      </c>
      <c r="E31" s="447" t="s">
        <v>649</v>
      </c>
      <c r="F31" s="448">
        <f>F32</f>
        <v>23000</v>
      </c>
      <c r="G31" s="449" t="str">
        <f>G32</f>
        <v>x</v>
      </c>
      <c r="H31" s="448">
        <f>H32</f>
        <v>23000</v>
      </c>
      <c r="I31" s="448">
        <f>I32</f>
        <v>23000</v>
      </c>
      <c r="J31" s="448">
        <f>J32</f>
        <v>0</v>
      </c>
      <c r="K31" s="450" t="s">
        <v>649</v>
      </c>
    </row>
    <row r="32" spans="1:11" ht="26.25" thickBot="1">
      <c r="A32" s="452">
        <v>10</v>
      </c>
      <c r="B32" s="453"/>
      <c r="C32" s="454" t="s">
        <v>781</v>
      </c>
      <c r="D32" s="1" t="s">
        <v>782</v>
      </c>
      <c r="E32" s="455">
        <v>2019</v>
      </c>
      <c r="F32" s="456">
        <v>23000</v>
      </c>
      <c r="G32" s="457" t="s">
        <v>649</v>
      </c>
      <c r="H32" s="456">
        <f>I32+J32</f>
        <v>23000</v>
      </c>
      <c r="I32" s="456">
        <v>23000</v>
      </c>
      <c r="J32" s="456">
        <v>0</v>
      </c>
      <c r="K32" s="458" t="s">
        <v>783</v>
      </c>
    </row>
    <row r="33" spans="1:11" s="451" customFormat="1" ht="26.25" thickBot="1">
      <c r="A33" s="444"/>
      <c r="B33" s="445" t="s">
        <v>99</v>
      </c>
      <c r="C33" s="445"/>
      <c r="D33" s="460" t="s">
        <v>118</v>
      </c>
      <c r="E33" s="447" t="s">
        <v>649</v>
      </c>
      <c r="F33" s="448">
        <f>F34+F35</f>
        <v>175000</v>
      </c>
      <c r="G33" s="449" t="s">
        <v>649</v>
      </c>
      <c r="H33" s="448">
        <f>H34+H35</f>
        <v>175000</v>
      </c>
      <c r="I33" s="448">
        <f>I34+I35</f>
        <v>175000</v>
      </c>
      <c r="J33" s="448">
        <f>J34+J35</f>
        <v>0</v>
      </c>
      <c r="K33" s="450" t="s">
        <v>649</v>
      </c>
    </row>
    <row r="34" spans="1:11" ht="12.75">
      <c r="A34" s="452">
        <v>11</v>
      </c>
      <c r="B34" s="453"/>
      <c r="C34" s="454" t="s">
        <v>784</v>
      </c>
      <c r="D34" s="1" t="s">
        <v>778</v>
      </c>
      <c r="E34" s="455">
        <v>2019</v>
      </c>
      <c r="F34" s="456">
        <v>100000</v>
      </c>
      <c r="G34" s="457" t="s">
        <v>649</v>
      </c>
      <c r="H34" s="456">
        <f>I34+J34</f>
        <v>100000</v>
      </c>
      <c r="I34" s="456">
        <v>100000</v>
      </c>
      <c r="J34" s="456"/>
      <c r="K34" s="458" t="s">
        <v>785</v>
      </c>
    </row>
    <row r="35" spans="1:11" ht="13.5" thickBot="1">
      <c r="A35" s="452">
        <v>12</v>
      </c>
      <c r="B35" s="453"/>
      <c r="C35" s="454" t="s">
        <v>784</v>
      </c>
      <c r="D35" s="1" t="s">
        <v>786</v>
      </c>
      <c r="E35" s="455">
        <v>2019</v>
      </c>
      <c r="F35" s="456">
        <v>75000</v>
      </c>
      <c r="G35" s="457" t="s">
        <v>649</v>
      </c>
      <c r="H35" s="456">
        <f>I35+J35</f>
        <v>75000</v>
      </c>
      <c r="I35" s="456">
        <v>75000</v>
      </c>
      <c r="J35" s="456"/>
      <c r="K35" s="458" t="s">
        <v>785</v>
      </c>
    </row>
    <row r="36" spans="1:11" s="451" customFormat="1" ht="13.5" thickBot="1">
      <c r="A36" s="444"/>
      <c r="B36" s="445" t="s">
        <v>61</v>
      </c>
      <c r="C36" s="445"/>
      <c r="D36" s="446" t="s">
        <v>63</v>
      </c>
      <c r="E36" s="447" t="s">
        <v>649</v>
      </c>
      <c r="F36" s="448">
        <f>F37</f>
        <v>500000</v>
      </c>
      <c r="G36" s="449" t="s">
        <v>649</v>
      </c>
      <c r="H36" s="448">
        <f>H37</f>
        <v>500000</v>
      </c>
      <c r="I36" s="448">
        <f>I37</f>
        <v>500000</v>
      </c>
      <c r="J36" s="448">
        <f>J37</f>
        <v>0</v>
      </c>
      <c r="K36" s="450" t="s">
        <v>649</v>
      </c>
    </row>
    <row r="37" spans="1:11" ht="26.25" thickBot="1">
      <c r="A37" s="461">
        <v>13</v>
      </c>
      <c r="B37" s="462"/>
      <c r="C37" s="463" t="s">
        <v>787</v>
      </c>
      <c r="D37" s="464" t="s">
        <v>788</v>
      </c>
      <c r="E37" s="465">
        <v>2019</v>
      </c>
      <c r="F37" s="466">
        <v>500000</v>
      </c>
      <c r="G37" s="467" t="s">
        <v>649</v>
      </c>
      <c r="H37" s="466">
        <f>I37+J37</f>
        <v>500000</v>
      </c>
      <c r="I37" s="466">
        <v>500000</v>
      </c>
      <c r="J37" s="466">
        <v>0</v>
      </c>
      <c r="K37" s="468" t="s">
        <v>770</v>
      </c>
    </row>
    <row r="38" spans="1:11" s="451" customFormat="1" ht="26.25" thickBot="1">
      <c r="A38" s="444"/>
      <c r="B38" s="445" t="s">
        <v>102</v>
      </c>
      <c r="C38" s="445"/>
      <c r="D38" s="460" t="s">
        <v>103</v>
      </c>
      <c r="E38" s="447" t="s">
        <v>649</v>
      </c>
      <c r="F38" s="448">
        <f>F39+F40+F41+F42</f>
        <v>400000</v>
      </c>
      <c r="G38" s="449" t="s">
        <v>649</v>
      </c>
      <c r="H38" s="448">
        <f>H39+H40+H41+H42</f>
        <v>400000</v>
      </c>
      <c r="I38" s="448">
        <f>I39+I40+I41+I42</f>
        <v>400000</v>
      </c>
      <c r="J38" s="448">
        <f>J39+J40+J41+J42</f>
        <v>0</v>
      </c>
      <c r="K38" s="450" t="s">
        <v>649</v>
      </c>
    </row>
    <row r="39" spans="1:11" ht="25.5">
      <c r="A39" s="452">
        <v>14</v>
      </c>
      <c r="B39" s="453"/>
      <c r="C39" s="454" t="s">
        <v>789</v>
      </c>
      <c r="D39" s="1" t="s">
        <v>790</v>
      </c>
      <c r="E39" s="455">
        <v>2019</v>
      </c>
      <c r="F39" s="456">
        <v>140000</v>
      </c>
      <c r="G39" s="457" t="s">
        <v>649</v>
      </c>
      <c r="H39" s="456">
        <f>I39+J39</f>
        <v>140000</v>
      </c>
      <c r="I39" s="456">
        <v>140000</v>
      </c>
      <c r="J39" s="456">
        <v>0</v>
      </c>
      <c r="K39" s="458" t="s">
        <v>791</v>
      </c>
    </row>
    <row r="40" spans="1:11" ht="12.75">
      <c r="A40" s="452">
        <v>15</v>
      </c>
      <c r="B40" s="453"/>
      <c r="C40" s="454" t="s">
        <v>792</v>
      </c>
      <c r="D40" s="1" t="s">
        <v>793</v>
      </c>
      <c r="E40" s="455">
        <v>2019</v>
      </c>
      <c r="F40" s="456">
        <v>60000</v>
      </c>
      <c r="G40" s="457" t="s">
        <v>649</v>
      </c>
      <c r="H40" s="456">
        <f>I40+J40</f>
        <v>60000</v>
      </c>
      <c r="I40" s="456">
        <v>60000</v>
      </c>
      <c r="J40" s="456">
        <v>0</v>
      </c>
      <c r="K40" s="458" t="s">
        <v>794</v>
      </c>
    </row>
    <row r="41" spans="1:11" ht="25.5">
      <c r="A41" s="452">
        <v>16</v>
      </c>
      <c r="B41" s="453"/>
      <c r="C41" s="454" t="s">
        <v>795</v>
      </c>
      <c r="D41" s="1" t="s">
        <v>796</v>
      </c>
      <c r="E41" s="455">
        <v>2019</v>
      </c>
      <c r="F41" s="456">
        <v>100000</v>
      </c>
      <c r="G41" s="457" t="s">
        <v>649</v>
      </c>
      <c r="H41" s="456">
        <f>I41+J41</f>
        <v>100000</v>
      </c>
      <c r="I41" s="456">
        <v>100000</v>
      </c>
      <c r="J41" s="456">
        <v>0</v>
      </c>
      <c r="K41" s="458" t="s">
        <v>797</v>
      </c>
    </row>
    <row r="42" spans="1:11" ht="26.25" thickBot="1">
      <c r="A42" s="452">
        <v>17</v>
      </c>
      <c r="B42" s="453"/>
      <c r="C42" s="454" t="s">
        <v>798</v>
      </c>
      <c r="D42" s="1" t="s">
        <v>799</v>
      </c>
      <c r="E42" s="455">
        <v>2019</v>
      </c>
      <c r="F42" s="456">
        <v>100000</v>
      </c>
      <c r="G42" s="457" t="s">
        <v>649</v>
      </c>
      <c r="H42" s="456">
        <f>I42+J42</f>
        <v>100000</v>
      </c>
      <c r="I42" s="456">
        <v>100000</v>
      </c>
      <c r="J42" s="456">
        <v>0</v>
      </c>
      <c r="K42" s="458" t="s">
        <v>770</v>
      </c>
    </row>
    <row r="43" spans="1:11" s="451" customFormat="1" ht="13.5" thickBot="1">
      <c r="A43" s="444"/>
      <c r="B43" s="445" t="s">
        <v>406</v>
      </c>
      <c r="C43" s="445"/>
      <c r="D43" s="460" t="s">
        <v>407</v>
      </c>
      <c r="E43" s="447" t="s">
        <v>649</v>
      </c>
      <c r="F43" s="448">
        <f>F44</f>
        <v>2000000</v>
      </c>
      <c r="G43" s="449" t="str">
        <f>G44</f>
        <v>x</v>
      </c>
      <c r="H43" s="448">
        <f>H44</f>
        <v>2000000</v>
      </c>
      <c r="I43" s="448">
        <f>I44</f>
        <v>2000000</v>
      </c>
      <c r="J43" s="448">
        <f>J44</f>
        <v>0</v>
      </c>
      <c r="K43" s="450" t="s">
        <v>649</v>
      </c>
    </row>
    <row r="44" spans="1:11" ht="25.5">
      <c r="A44" s="452">
        <v>18</v>
      </c>
      <c r="B44" s="453"/>
      <c r="C44" s="454" t="s">
        <v>800</v>
      </c>
      <c r="D44" s="1" t="s">
        <v>801</v>
      </c>
      <c r="E44" s="455">
        <v>2019</v>
      </c>
      <c r="F44" s="456">
        <v>2000000</v>
      </c>
      <c r="G44" s="457" t="s">
        <v>649</v>
      </c>
      <c r="H44" s="456">
        <f>I44+J44</f>
        <v>2000000</v>
      </c>
      <c r="I44" s="456">
        <v>2000000</v>
      </c>
      <c r="J44" s="456">
        <v>0</v>
      </c>
      <c r="K44" s="458" t="s">
        <v>770</v>
      </c>
    </row>
    <row r="45" spans="1:11" ht="9" customHeight="1" thickBot="1">
      <c r="A45" s="469"/>
      <c r="B45" s="470"/>
      <c r="C45" s="471"/>
      <c r="D45" s="472"/>
      <c r="E45" s="473"/>
      <c r="F45" s="474"/>
      <c r="G45" s="475"/>
      <c r="H45" s="474"/>
      <c r="I45" s="474"/>
      <c r="J45" s="474"/>
      <c r="K45" s="476"/>
    </row>
    <row r="46" spans="1:11" s="480" customFormat="1" ht="16.5" thickBot="1">
      <c r="A46" s="1061" t="s">
        <v>802</v>
      </c>
      <c r="B46" s="1062"/>
      <c r="C46" s="1062"/>
      <c r="D46" s="1062"/>
      <c r="E46" s="434" t="s">
        <v>649</v>
      </c>
      <c r="F46" s="477">
        <f>F17+F19+F23+F25+F27+F31+F33+F36+F38+F43</f>
        <v>24471234</v>
      </c>
      <c r="G46" s="478" t="s">
        <v>649</v>
      </c>
      <c r="H46" s="477">
        <f>H17+H19+H23+H25+H27+H31+H33+H36+H38+H43</f>
        <v>24471234</v>
      </c>
      <c r="I46" s="477">
        <f>I17+I19+I23+I25+I27+I31+I33+I36+I38+I43</f>
        <v>18471234</v>
      </c>
      <c r="J46" s="477">
        <f>J17+J19+J23+J25+J27+J31+J33+J36+J38+J43</f>
        <v>6000000</v>
      </c>
      <c r="K46" s="479" t="s">
        <v>649</v>
      </c>
    </row>
    <row r="47" spans="1:11" ht="9" customHeight="1" thickBot="1">
      <c r="A47" s="1063"/>
      <c r="B47" s="1064"/>
      <c r="C47" s="1064"/>
      <c r="D47" s="1064"/>
      <c r="E47" s="1064"/>
      <c r="F47" s="1064"/>
      <c r="G47" s="1064"/>
      <c r="H47" s="1064"/>
      <c r="I47" s="1064"/>
      <c r="J47" s="1064"/>
      <c r="K47" s="1065"/>
    </row>
    <row r="48" spans="1:11" s="442" customFormat="1" ht="16.5" thickBot="1">
      <c r="A48" s="433" t="s">
        <v>803</v>
      </c>
      <c r="B48" s="1056" t="s">
        <v>804</v>
      </c>
      <c r="C48" s="1056"/>
      <c r="D48" s="1056"/>
      <c r="E48" s="1056"/>
      <c r="F48" s="1056"/>
      <c r="G48" s="1056"/>
      <c r="H48" s="1056"/>
      <c r="I48" s="1056"/>
      <c r="J48" s="1056"/>
      <c r="K48" s="1057"/>
    </row>
    <row r="49" spans="1:11" ht="9" customHeight="1" thickBot="1">
      <c r="A49" s="438"/>
      <c r="B49" s="443"/>
      <c r="C49" s="481"/>
      <c r="D49" s="482"/>
      <c r="E49" s="483"/>
      <c r="F49" s="484"/>
      <c r="G49" s="485"/>
      <c r="H49" s="484"/>
      <c r="I49" s="484"/>
      <c r="J49" s="484"/>
      <c r="K49" s="486"/>
    </row>
    <row r="50" spans="1:11" s="451" customFormat="1" ht="14.25" customHeight="1" thickBot="1">
      <c r="A50" s="444"/>
      <c r="B50" s="445" t="s">
        <v>77</v>
      </c>
      <c r="C50" s="445"/>
      <c r="D50" s="446" t="s">
        <v>107</v>
      </c>
      <c r="E50" s="447" t="s">
        <v>649</v>
      </c>
      <c r="F50" s="448">
        <f>F51</f>
        <v>799384</v>
      </c>
      <c r="G50" s="448">
        <f>G51</f>
        <v>777339</v>
      </c>
      <c r="H50" s="448">
        <f>H51</f>
        <v>22045</v>
      </c>
      <c r="I50" s="448">
        <f>I51</f>
        <v>22045</v>
      </c>
      <c r="J50" s="448">
        <f>J51</f>
        <v>0</v>
      </c>
      <c r="K50" s="450" t="s">
        <v>649</v>
      </c>
    </row>
    <row r="51" spans="1:11" ht="51.75" thickBot="1">
      <c r="A51" s="452">
        <v>1</v>
      </c>
      <c r="B51" s="453"/>
      <c r="C51" s="454" t="s">
        <v>241</v>
      </c>
      <c r="D51" s="1" t="s">
        <v>805</v>
      </c>
      <c r="E51" s="455" t="s">
        <v>806</v>
      </c>
      <c r="F51" s="456">
        <v>799384</v>
      </c>
      <c r="G51" s="487">
        <f>799384-22045</f>
        <v>777339</v>
      </c>
      <c r="H51" s="456">
        <f>I51+J51</f>
        <v>22045</v>
      </c>
      <c r="I51" s="456">
        <v>22045</v>
      </c>
      <c r="J51" s="456"/>
      <c r="K51" s="458" t="s">
        <v>770</v>
      </c>
    </row>
    <row r="52" spans="1:11" s="451" customFormat="1" ht="13.5" thickBot="1">
      <c r="A52" s="444"/>
      <c r="B52" s="445" t="s">
        <v>80</v>
      </c>
      <c r="C52" s="445"/>
      <c r="D52" s="446" t="s">
        <v>81</v>
      </c>
      <c r="E52" s="447" t="s">
        <v>649</v>
      </c>
      <c r="F52" s="448">
        <f>F53+F54+F55+F56+F57+F58</f>
        <v>100234498</v>
      </c>
      <c r="G52" s="448">
        <f>G53+G54+G55+G56+G57+G58</f>
        <v>41914498</v>
      </c>
      <c r="H52" s="448">
        <f>H53+H54+H55+H56+H57+H58</f>
        <v>28500000</v>
      </c>
      <c r="I52" s="448">
        <f>I53+I54+I55+I56+I57+I58</f>
        <v>28200000</v>
      </c>
      <c r="J52" s="448">
        <f>J53+J54+J55+J56+J57+J58</f>
        <v>300000</v>
      </c>
      <c r="K52" s="450" t="s">
        <v>649</v>
      </c>
    </row>
    <row r="53" spans="1:11" ht="51">
      <c r="A53" s="452">
        <v>2</v>
      </c>
      <c r="B53" s="453"/>
      <c r="C53" s="454" t="s">
        <v>254</v>
      </c>
      <c r="D53" s="1" t="s">
        <v>807</v>
      </c>
      <c r="E53" s="455" t="s">
        <v>808</v>
      </c>
      <c r="F53" s="456">
        <v>358902</v>
      </c>
      <c r="G53" s="487">
        <f>30000+78902</f>
        <v>108902</v>
      </c>
      <c r="H53" s="456">
        <f aca="true" t="shared" si="0" ref="H53:H58">I53+J53</f>
        <v>250000</v>
      </c>
      <c r="I53" s="456">
        <v>250000</v>
      </c>
      <c r="J53" s="456">
        <v>0</v>
      </c>
      <c r="K53" s="458" t="s">
        <v>770</v>
      </c>
    </row>
    <row r="54" spans="1:11" ht="38.25">
      <c r="A54" s="452">
        <v>3</v>
      </c>
      <c r="B54" s="453"/>
      <c r="C54" s="454" t="s">
        <v>256</v>
      </c>
      <c r="D54" s="1" t="s">
        <v>809</v>
      </c>
      <c r="E54" s="455" t="s">
        <v>810</v>
      </c>
      <c r="F54" s="456">
        <v>64825596</v>
      </c>
      <c r="G54" s="487">
        <f>5326038+28679558</f>
        <v>34005596</v>
      </c>
      <c r="H54" s="456">
        <f t="shared" si="0"/>
        <v>20000000</v>
      </c>
      <c r="I54" s="456">
        <v>20000000</v>
      </c>
      <c r="J54" s="456">
        <v>0</v>
      </c>
      <c r="K54" s="458" t="s">
        <v>811</v>
      </c>
    </row>
    <row r="55" spans="1:11" ht="51">
      <c r="A55" s="452">
        <v>4</v>
      </c>
      <c r="B55" s="453"/>
      <c r="C55" s="454" t="s">
        <v>256</v>
      </c>
      <c r="D55" s="1" t="s">
        <v>812</v>
      </c>
      <c r="E55" s="455" t="s">
        <v>808</v>
      </c>
      <c r="F55" s="456">
        <v>600000</v>
      </c>
      <c r="G55" s="487">
        <v>300000</v>
      </c>
      <c r="H55" s="456">
        <f t="shared" si="0"/>
        <v>300000</v>
      </c>
      <c r="I55" s="456">
        <v>0</v>
      </c>
      <c r="J55" s="456">
        <v>300000</v>
      </c>
      <c r="K55" s="458" t="s">
        <v>811</v>
      </c>
    </row>
    <row r="56" spans="1:11" ht="25.5">
      <c r="A56" s="452">
        <v>5</v>
      </c>
      <c r="B56" s="453"/>
      <c r="C56" s="454" t="s">
        <v>256</v>
      </c>
      <c r="D56" s="1" t="s">
        <v>813</v>
      </c>
      <c r="E56" s="455" t="s">
        <v>814</v>
      </c>
      <c r="F56" s="456">
        <v>14300000</v>
      </c>
      <c r="G56" s="487">
        <v>6300000</v>
      </c>
      <c r="H56" s="456">
        <f t="shared" si="0"/>
        <v>3000000</v>
      </c>
      <c r="I56" s="456">
        <v>3000000</v>
      </c>
      <c r="J56" s="456">
        <v>0</v>
      </c>
      <c r="K56" s="458" t="s">
        <v>811</v>
      </c>
    </row>
    <row r="57" spans="1:11" ht="79.5" customHeight="1">
      <c r="A57" s="452">
        <v>6</v>
      </c>
      <c r="B57" s="453"/>
      <c r="C57" s="454" t="s">
        <v>257</v>
      </c>
      <c r="D57" s="1" t="s">
        <v>815</v>
      </c>
      <c r="E57" s="455" t="s">
        <v>816</v>
      </c>
      <c r="F57" s="456">
        <v>20000000</v>
      </c>
      <c r="G57" s="487">
        <v>1200000</v>
      </c>
      <c r="H57" s="456">
        <f t="shared" si="0"/>
        <v>4800000</v>
      </c>
      <c r="I57" s="456">
        <v>4800000</v>
      </c>
      <c r="J57" s="456">
        <v>0</v>
      </c>
      <c r="K57" s="458" t="s">
        <v>770</v>
      </c>
    </row>
    <row r="58" spans="1:11" ht="66" customHeight="1" thickBot="1">
      <c r="A58" s="452">
        <v>7</v>
      </c>
      <c r="B58" s="453"/>
      <c r="C58" s="454" t="s">
        <v>259</v>
      </c>
      <c r="D58" s="1" t="s">
        <v>817</v>
      </c>
      <c r="E58" s="455" t="s">
        <v>818</v>
      </c>
      <c r="F58" s="456">
        <v>150000</v>
      </c>
      <c r="G58" s="487">
        <v>0</v>
      </c>
      <c r="H58" s="456">
        <f t="shared" si="0"/>
        <v>150000</v>
      </c>
      <c r="I58" s="456">
        <v>150000</v>
      </c>
      <c r="J58" s="456">
        <v>0</v>
      </c>
      <c r="K58" s="458" t="s">
        <v>770</v>
      </c>
    </row>
    <row r="59" spans="1:11" s="451" customFormat="1" ht="13.5" thickBot="1">
      <c r="A59" s="444"/>
      <c r="B59" s="445" t="s">
        <v>82</v>
      </c>
      <c r="C59" s="445"/>
      <c r="D59" s="446" t="s">
        <v>83</v>
      </c>
      <c r="E59" s="447" t="s">
        <v>649</v>
      </c>
      <c r="F59" s="448">
        <f>F60+F61+F62</f>
        <v>4400877</v>
      </c>
      <c r="G59" s="448">
        <f>G60+G61+G62</f>
        <v>2065577</v>
      </c>
      <c r="H59" s="448">
        <f>H60+H61+H62</f>
        <v>1117400</v>
      </c>
      <c r="I59" s="448">
        <f>I60+I61+I62</f>
        <v>1117400</v>
      </c>
      <c r="J59" s="448">
        <f>J60+J61+J62</f>
        <v>0</v>
      </c>
      <c r="K59" s="450" t="s">
        <v>649</v>
      </c>
    </row>
    <row r="60" spans="1:11" ht="12.75">
      <c r="A60" s="452">
        <v>8</v>
      </c>
      <c r="B60" s="453"/>
      <c r="C60" s="454" t="s">
        <v>264</v>
      </c>
      <c r="D60" s="1" t="s">
        <v>819</v>
      </c>
      <c r="E60" s="455" t="s">
        <v>820</v>
      </c>
      <c r="F60" s="456">
        <v>231277</v>
      </c>
      <c r="G60" s="487">
        <v>216517</v>
      </c>
      <c r="H60" s="456">
        <f>I60+J60</f>
        <v>14760</v>
      </c>
      <c r="I60" s="456">
        <v>14760</v>
      </c>
      <c r="J60" s="456">
        <v>0</v>
      </c>
      <c r="K60" s="458" t="s">
        <v>770</v>
      </c>
    </row>
    <row r="61" spans="1:11" ht="38.25">
      <c r="A61" s="452">
        <v>9</v>
      </c>
      <c r="B61" s="453"/>
      <c r="C61" s="454" t="s">
        <v>264</v>
      </c>
      <c r="D61" s="1" t="s">
        <v>821</v>
      </c>
      <c r="E61" s="455" t="s">
        <v>822</v>
      </c>
      <c r="F61" s="456">
        <v>339600</v>
      </c>
      <c r="G61" s="487">
        <f>3780+22640+22640</f>
        <v>49060</v>
      </c>
      <c r="H61" s="456">
        <f>I61+J61</f>
        <v>22640</v>
      </c>
      <c r="I61" s="456">
        <v>22640</v>
      </c>
      <c r="J61" s="456">
        <v>0</v>
      </c>
      <c r="K61" s="458" t="s">
        <v>770</v>
      </c>
    </row>
    <row r="62" spans="1:11" ht="26.25" thickBot="1">
      <c r="A62" s="452">
        <v>10</v>
      </c>
      <c r="B62" s="453"/>
      <c r="C62" s="454" t="s">
        <v>264</v>
      </c>
      <c r="D62" s="1" t="s">
        <v>823</v>
      </c>
      <c r="E62" s="455" t="s">
        <v>814</v>
      </c>
      <c r="F62" s="456">
        <v>3830000</v>
      </c>
      <c r="G62" s="487">
        <v>1800000</v>
      </c>
      <c r="H62" s="456">
        <f>I62+J62</f>
        <v>1080000</v>
      </c>
      <c r="I62" s="456">
        <v>1080000</v>
      </c>
      <c r="J62" s="456">
        <v>0</v>
      </c>
      <c r="K62" s="458" t="s">
        <v>770</v>
      </c>
    </row>
    <row r="63" spans="1:11" s="480" customFormat="1" ht="13.5" thickBot="1">
      <c r="A63" s="444"/>
      <c r="B63" s="445" t="s">
        <v>86</v>
      </c>
      <c r="C63" s="445"/>
      <c r="D63" s="446" t="s">
        <v>87</v>
      </c>
      <c r="E63" s="447" t="s">
        <v>649</v>
      </c>
      <c r="F63" s="488">
        <f>F64</f>
        <v>918263</v>
      </c>
      <c r="G63" s="488">
        <f>G64</f>
        <v>138791</v>
      </c>
      <c r="H63" s="488">
        <f>H64</f>
        <v>779472</v>
      </c>
      <c r="I63" s="488">
        <f>I64</f>
        <v>779472</v>
      </c>
      <c r="J63" s="488">
        <f>J64</f>
        <v>0</v>
      </c>
      <c r="K63" s="489" t="s">
        <v>649</v>
      </c>
    </row>
    <row r="64" spans="1:11" ht="26.25" thickBot="1">
      <c r="A64" s="452">
        <v>11</v>
      </c>
      <c r="B64" s="453"/>
      <c r="C64" s="454" t="s">
        <v>270</v>
      </c>
      <c r="D64" s="1" t="s">
        <v>824</v>
      </c>
      <c r="E64" s="455" t="s">
        <v>818</v>
      </c>
      <c r="F64" s="456">
        <v>918263</v>
      </c>
      <c r="G64" s="487">
        <v>138791</v>
      </c>
      <c r="H64" s="456">
        <f>I64+J64</f>
        <v>779472</v>
      </c>
      <c r="I64" s="456">
        <v>779472</v>
      </c>
      <c r="J64" s="456">
        <v>0</v>
      </c>
      <c r="K64" s="458" t="s">
        <v>770</v>
      </c>
    </row>
    <row r="65" spans="1:11" s="451" customFormat="1" ht="13.5" thickBot="1">
      <c r="A65" s="444"/>
      <c r="B65" s="445" t="s">
        <v>88</v>
      </c>
      <c r="C65" s="445"/>
      <c r="D65" s="446" t="s">
        <v>89</v>
      </c>
      <c r="E65" s="447" t="s">
        <v>649</v>
      </c>
      <c r="F65" s="448">
        <f>F66</f>
        <v>2738304</v>
      </c>
      <c r="G65" s="448">
        <f>G66</f>
        <v>2388304</v>
      </c>
      <c r="H65" s="448">
        <f>H66</f>
        <v>350000</v>
      </c>
      <c r="I65" s="448">
        <f>I66</f>
        <v>350000</v>
      </c>
      <c r="J65" s="448">
        <f>J66</f>
        <v>0</v>
      </c>
      <c r="K65" s="450" t="s">
        <v>649</v>
      </c>
    </row>
    <row r="66" spans="1:11" ht="13.5" thickBot="1">
      <c r="A66" s="452">
        <v>12</v>
      </c>
      <c r="B66" s="453"/>
      <c r="C66" s="454" t="s">
        <v>273</v>
      </c>
      <c r="D66" s="1" t="s">
        <v>825</v>
      </c>
      <c r="E66" s="455" t="s">
        <v>826</v>
      </c>
      <c r="F66" s="456">
        <v>2738304</v>
      </c>
      <c r="G66" s="487">
        <f>849330+476748+406397+4428+651401</f>
        <v>2388304</v>
      </c>
      <c r="H66" s="456">
        <f>I66+J66</f>
        <v>350000</v>
      </c>
      <c r="I66" s="456">
        <v>350000</v>
      </c>
      <c r="J66" s="456">
        <v>0</v>
      </c>
      <c r="K66" s="458" t="s">
        <v>770</v>
      </c>
    </row>
    <row r="67" spans="1:11" s="451" customFormat="1" ht="13.5" thickBot="1">
      <c r="A67" s="444"/>
      <c r="B67" s="445" t="s">
        <v>94</v>
      </c>
      <c r="C67" s="445"/>
      <c r="D67" s="446" t="s">
        <v>95</v>
      </c>
      <c r="E67" s="447" t="s">
        <v>649</v>
      </c>
      <c r="F67" s="448">
        <f>F68</f>
        <v>300000</v>
      </c>
      <c r="G67" s="448">
        <f>G68</f>
        <v>0</v>
      </c>
      <c r="H67" s="448">
        <f>H68</f>
        <v>300000</v>
      </c>
      <c r="I67" s="448">
        <f>I68</f>
        <v>300000</v>
      </c>
      <c r="J67" s="448">
        <f>J68</f>
        <v>0</v>
      </c>
      <c r="K67" s="450" t="s">
        <v>649</v>
      </c>
    </row>
    <row r="68" spans="1:11" ht="13.5" thickBot="1">
      <c r="A68" s="452">
        <v>13</v>
      </c>
      <c r="B68" s="453"/>
      <c r="C68" s="454" t="s">
        <v>303</v>
      </c>
      <c r="D68" s="1" t="s">
        <v>827</v>
      </c>
      <c r="E68" s="455" t="s">
        <v>818</v>
      </c>
      <c r="F68" s="456">
        <v>300000</v>
      </c>
      <c r="G68" s="487">
        <v>0</v>
      </c>
      <c r="H68" s="456">
        <f>I68+J68</f>
        <v>300000</v>
      </c>
      <c r="I68" s="456">
        <v>300000</v>
      </c>
      <c r="J68" s="456">
        <v>0</v>
      </c>
      <c r="K68" s="458" t="s">
        <v>770</v>
      </c>
    </row>
    <row r="69" spans="1:11" s="451" customFormat="1" ht="13.5" thickBot="1">
      <c r="A69" s="444"/>
      <c r="B69" s="445" t="s">
        <v>309</v>
      </c>
      <c r="C69" s="445"/>
      <c r="D69" s="446" t="s">
        <v>310</v>
      </c>
      <c r="E69" s="447" t="s">
        <v>649</v>
      </c>
      <c r="F69" s="448">
        <f>F70</f>
        <v>9106050</v>
      </c>
      <c r="G69" s="448">
        <f>G70</f>
        <v>15000</v>
      </c>
      <c r="H69" s="448">
        <f>H70</f>
        <v>2100000</v>
      </c>
      <c r="I69" s="448">
        <f>I70</f>
        <v>2100000</v>
      </c>
      <c r="J69" s="448">
        <f>J70</f>
        <v>0</v>
      </c>
      <c r="K69" s="450" t="s">
        <v>649</v>
      </c>
    </row>
    <row r="70" spans="1:11" ht="26.25" thickBot="1">
      <c r="A70" s="452">
        <v>14</v>
      </c>
      <c r="B70" s="453"/>
      <c r="C70" s="454" t="s">
        <v>828</v>
      </c>
      <c r="D70" s="1" t="s">
        <v>829</v>
      </c>
      <c r="E70" s="455" t="s">
        <v>830</v>
      </c>
      <c r="F70" s="456">
        <v>9106050</v>
      </c>
      <c r="G70" s="487">
        <v>15000</v>
      </c>
      <c r="H70" s="456">
        <f>I70+J70</f>
        <v>2100000</v>
      </c>
      <c r="I70" s="456">
        <v>2100000</v>
      </c>
      <c r="J70" s="456">
        <v>0</v>
      </c>
      <c r="K70" s="458" t="s">
        <v>770</v>
      </c>
    </row>
    <row r="71" spans="1:11" s="451" customFormat="1" ht="13.5" thickBot="1">
      <c r="A71" s="444"/>
      <c r="B71" s="445" t="s">
        <v>96</v>
      </c>
      <c r="C71" s="445"/>
      <c r="D71" s="460" t="s">
        <v>97</v>
      </c>
      <c r="E71" s="447" t="s">
        <v>649</v>
      </c>
      <c r="F71" s="448">
        <f>F72+F73+F74+F75</f>
        <v>7206721</v>
      </c>
      <c r="G71" s="448">
        <f>G72+G73+G74+G75</f>
        <v>4531818</v>
      </c>
      <c r="H71" s="448">
        <f>H72+H73+H74+H75</f>
        <v>2650691</v>
      </c>
      <c r="I71" s="448">
        <f>I72+I73+I74+I75</f>
        <v>2650691</v>
      </c>
      <c r="J71" s="448">
        <f>J72+J73+J74+J75</f>
        <v>0</v>
      </c>
      <c r="K71" s="450" t="s">
        <v>649</v>
      </c>
    </row>
    <row r="72" spans="1:11" ht="51">
      <c r="A72" s="452">
        <v>15</v>
      </c>
      <c r="B72" s="453"/>
      <c r="C72" s="454" t="s">
        <v>831</v>
      </c>
      <c r="D72" s="1" t="s">
        <v>832</v>
      </c>
      <c r="E72" s="455" t="s">
        <v>833</v>
      </c>
      <c r="F72" s="456">
        <v>1278853</v>
      </c>
      <c r="G72" s="487">
        <f>106206+316956+316956+316956</f>
        <v>1057074</v>
      </c>
      <c r="H72" s="456">
        <f>I72+J72</f>
        <v>221779</v>
      </c>
      <c r="I72" s="456">
        <v>221779</v>
      </c>
      <c r="J72" s="456">
        <v>0</v>
      </c>
      <c r="K72" s="458" t="s">
        <v>834</v>
      </c>
    </row>
    <row r="73" spans="1:11" ht="51">
      <c r="A73" s="452">
        <v>16</v>
      </c>
      <c r="B73" s="453"/>
      <c r="C73" s="454" t="s">
        <v>831</v>
      </c>
      <c r="D73" s="1" t="s">
        <v>835</v>
      </c>
      <c r="E73" s="455" t="s">
        <v>833</v>
      </c>
      <c r="F73" s="456">
        <v>1282988</v>
      </c>
      <c r="G73" s="487">
        <f>86234+317990+317990+317990</f>
        <v>1040204</v>
      </c>
      <c r="H73" s="456">
        <f>I73+J73</f>
        <v>242784</v>
      </c>
      <c r="I73" s="456">
        <v>242784</v>
      </c>
      <c r="J73" s="456">
        <v>0</v>
      </c>
      <c r="K73" s="458" t="s">
        <v>836</v>
      </c>
    </row>
    <row r="74" spans="1:11" ht="36.75" customHeight="1">
      <c r="A74" s="452">
        <v>17</v>
      </c>
      <c r="B74" s="453"/>
      <c r="C74" s="454" t="s">
        <v>837</v>
      </c>
      <c r="D74" s="1" t="s">
        <v>838</v>
      </c>
      <c r="E74" s="455" t="s">
        <v>839</v>
      </c>
      <c r="F74" s="456">
        <v>1144880</v>
      </c>
      <c r="G74" s="487">
        <f>262284+286128+286128</f>
        <v>834540</v>
      </c>
      <c r="H74" s="456">
        <f>I74+J74</f>
        <v>286128</v>
      </c>
      <c r="I74" s="456">
        <v>286128</v>
      </c>
      <c r="J74" s="456">
        <v>0</v>
      </c>
      <c r="K74" s="458" t="s">
        <v>840</v>
      </c>
    </row>
    <row r="75" spans="1:11" ht="39" thickBot="1">
      <c r="A75" s="490">
        <v>18</v>
      </c>
      <c r="B75" s="491"/>
      <c r="C75" s="492" t="s">
        <v>841</v>
      </c>
      <c r="D75" s="3" t="s">
        <v>842</v>
      </c>
      <c r="E75" s="493" t="s">
        <v>843</v>
      </c>
      <c r="F75" s="494">
        <v>3500000</v>
      </c>
      <c r="G75" s="495">
        <f>600000+1000000</f>
        <v>1600000</v>
      </c>
      <c r="H75" s="494">
        <f>I75+J75</f>
        <v>1900000</v>
      </c>
      <c r="I75" s="494">
        <v>1900000</v>
      </c>
      <c r="J75" s="494">
        <v>0</v>
      </c>
      <c r="K75" s="4" t="s">
        <v>844</v>
      </c>
    </row>
    <row r="76" spans="1:11" s="451" customFormat="1" ht="26.25" thickBot="1">
      <c r="A76" s="444"/>
      <c r="B76" s="445" t="s">
        <v>100</v>
      </c>
      <c r="C76" s="445"/>
      <c r="D76" s="460" t="s">
        <v>101</v>
      </c>
      <c r="E76" s="447" t="s">
        <v>649</v>
      </c>
      <c r="F76" s="448">
        <f>F77</f>
        <v>10000</v>
      </c>
      <c r="G76" s="448">
        <f>G77</f>
        <v>0</v>
      </c>
      <c r="H76" s="448">
        <f>H77</f>
        <v>10000</v>
      </c>
      <c r="I76" s="448">
        <f>I77</f>
        <v>10000</v>
      </c>
      <c r="J76" s="448">
        <f>J77</f>
        <v>0</v>
      </c>
      <c r="K76" s="450" t="s">
        <v>649</v>
      </c>
    </row>
    <row r="77" spans="1:11" ht="51.75" thickBot="1">
      <c r="A77" s="452">
        <v>19</v>
      </c>
      <c r="B77" s="453"/>
      <c r="C77" s="454" t="s">
        <v>845</v>
      </c>
      <c r="D77" s="1" t="s">
        <v>805</v>
      </c>
      <c r="E77" s="455" t="s">
        <v>806</v>
      </c>
      <c r="F77" s="456">
        <v>10000</v>
      </c>
      <c r="G77" s="487">
        <v>0</v>
      </c>
      <c r="H77" s="456">
        <f>I77+J77</f>
        <v>10000</v>
      </c>
      <c r="I77" s="456">
        <v>10000</v>
      </c>
      <c r="J77" s="456">
        <v>0</v>
      </c>
      <c r="K77" s="458" t="s">
        <v>770</v>
      </c>
    </row>
    <row r="78" spans="1:11" s="451" customFormat="1" ht="26.25" thickBot="1">
      <c r="A78" s="444"/>
      <c r="B78" s="445" t="s">
        <v>102</v>
      </c>
      <c r="C78" s="445"/>
      <c r="D78" s="460" t="s">
        <v>103</v>
      </c>
      <c r="E78" s="447" t="s">
        <v>649</v>
      </c>
      <c r="F78" s="448">
        <f>F79+F80+F81+F82+F83</f>
        <v>23639418</v>
      </c>
      <c r="G78" s="448">
        <f>G79+G80+G81+G82+G83</f>
        <v>8067168</v>
      </c>
      <c r="H78" s="448">
        <f>H79+H80+H81+H82+H83</f>
        <v>6028050</v>
      </c>
      <c r="I78" s="448">
        <f>I79+I80+I81+I82+I83</f>
        <v>5028050</v>
      </c>
      <c r="J78" s="448">
        <f>J79+J80+J81+J82+J83</f>
        <v>1000000</v>
      </c>
      <c r="K78" s="450" t="s">
        <v>649</v>
      </c>
    </row>
    <row r="79" spans="1:11" ht="30" customHeight="1">
      <c r="A79" s="452">
        <v>20</v>
      </c>
      <c r="B79" s="453"/>
      <c r="C79" s="496" t="s">
        <v>846</v>
      </c>
      <c r="D79" s="1" t="s">
        <v>847</v>
      </c>
      <c r="E79" s="455" t="s">
        <v>818</v>
      </c>
      <c r="F79" s="456">
        <v>2700000</v>
      </c>
      <c r="G79" s="487">
        <v>700000</v>
      </c>
      <c r="H79" s="456">
        <f>I79+J79</f>
        <v>2000000</v>
      </c>
      <c r="I79" s="456">
        <v>1000000</v>
      </c>
      <c r="J79" s="456">
        <v>1000000</v>
      </c>
      <c r="K79" s="458" t="s">
        <v>848</v>
      </c>
    </row>
    <row r="80" spans="1:11" ht="63.75">
      <c r="A80" s="452">
        <v>21</v>
      </c>
      <c r="B80" s="453"/>
      <c r="C80" s="454" t="s">
        <v>789</v>
      </c>
      <c r="D80" s="1" t="s">
        <v>849</v>
      </c>
      <c r="E80" s="455" t="s">
        <v>850</v>
      </c>
      <c r="F80" s="456">
        <v>9575438</v>
      </c>
      <c r="G80" s="487">
        <v>0</v>
      </c>
      <c r="H80" s="456">
        <f>I80+J80</f>
        <v>116783</v>
      </c>
      <c r="I80" s="456">
        <v>116783</v>
      </c>
      <c r="J80" s="456">
        <v>0</v>
      </c>
      <c r="K80" s="458" t="s">
        <v>851</v>
      </c>
    </row>
    <row r="81" spans="1:11" ht="25.5">
      <c r="A81" s="452">
        <v>22</v>
      </c>
      <c r="B81" s="453"/>
      <c r="C81" s="454" t="s">
        <v>789</v>
      </c>
      <c r="D81" s="1" t="s">
        <v>852</v>
      </c>
      <c r="E81" s="455" t="s">
        <v>853</v>
      </c>
      <c r="F81" s="456">
        <v>4713706</v>
      </c>
      <c r="G81" s="487">
        <f>12300+110700+1005427+3471219</f>
        <v>4599646</v>
      </c>
      <c r="H81" s="456">
        <f>I81+J81</f>
        <v>28515</v>
      </c>
      <c r="I81" s="456">
        <v>28515</v>
      </c>
      <c r="J81" s="456">
        <v>0</v>
      </c>
      <c r="K81" s="458" t="s">
        <v>851</v>
      </c>
    </row>
    <row r="82" spans="1:11" ht="29.25" customHeight="1">
      <c r="A82" s="452">
        <v>23</v>
      </c>
      <c r="B82" s="453"/>
      <c r="C82" s="454" t="s">
        <v>854</v>
      </c>
      <c r="D82" s="1" t="s">
        <v>855</v>
      </c>
      <c r="E82" s="455" t="s">
        <v>808</v>
      </c>
      <c r="F82" s="456">
        <v>4470111</v>
      </c>
      <c r="G82" s="487">
        <v>2237359</v>
      </c>
      <c r="H82" s="456">
        <f>I82+J82</f>
        <v>2232752</v>
      </c>
      <c r="I82" s="456">
        <v>2232752</v>
      </c>
      <c r="J82" s="456">
        <v>0</v>
      </c>
      <c r="K82" s="458" t="s">
        <v>856</v>
      </c>
    </row>
    <row r="83" spans="1:11" ht="25.5">
      <c r="A83" s="452">
        <v>24</v>
      </c>
      <c r="B83" s="453"/>
      <c r="C83" s="454" t="s">
        <v>854</v>
      </c>
      <c r="D83" s="1" t="s">
        <v>857</v>
      </c>
      <c r="E83" s="455" t="s">
        <v>808</v>
      </c>
      <c r="F83" s="456">
        <v>2180163</v>
      </c>
      <c r="G83" s="487">
        <f>180163+350000</f>
        <v>530163</v>
      </c>
      <c r="H83" s="456">
        <f>I83+J83</f>
        <v>1650000</v>
      </c>
      <c r="I83" s="456">
        <v>1650000</v>
      </c>
      <c r="J83" s="456">
        <v>0</v>
      </c>
      <c r="K83" s="458" t="s">
        <v>856</v>
      </c>
    </row>
    <row r="84" spans="1:11" ht="9" customHeight="1" thickBot="1">
      <c r="A84" s="469"/>
      <c r="B84" s="470"/>
      <c r="C84" s="471"/>
      <c r="D84" s="472"/>
      <c r="E84" s="473"/>
      <c r="F84" s="474"/>
      <c r="G84" s="497"/>
      <c r="H84" s="474"/>
      <c r="I84" s="474"/>
      <c r="J84" s="474"/>
      <c r="K84" s="476"/>
    </row>
    <row r="85" spans="1:11" s="480" customFormat="1" ht="16.5" thickBot="1">
      <c r="A85" s="1061" t="s">
        <v>802</v>
      </c>
      <c r="B85" s="1062"/>
      <c r="C85" s="1062"/>
      <c r="D85" s="1062"/>
      <c r="E85" s="434" t="s">
        <v>649</v>
      </c>
      <c r="F85" s="477">
        <f>F50+F52+F59+F63+F65+F67+F69+F71+F76+F78</f>
        <v>149353515</v>
      </c>
      <c r="G85" s="477">
        <f>G50+G52+G59+G63+G65+G67+G69+G71+G76+G78</f>
        <v>59898495</v>
      </c>
      <c r="H85" s="477">
        <f>H50+H52+H59+H63+H65+H67+H69+H71+H76+H78</f>
        <v>41857658</v>
      </c>
      <c r="I85" s="477">
        <f>I50+I52+I59+I63+I65+I67+I69+I71+I76+I78</f>
        <v>40557658</v>
      </c>
      <c r="J85" s="477">
        <f>J50+J52+J59+J63+J65+J67+J69+J71+J76+J78</f>
        <v>1300000</v>
      </c>
      <c r="K85" s="479" t="s">
        <v>649</v>
      </c>
    </row>
    <row r="86" spans="1:11" ht="9" customHeight="1" thickBot="1">
      <c r="A86" s="1066"/>
      <c r="B86" s="1067"/>
      <c r="C86" s="1067"/>
      <c r="D86" s="1067"/>
      <c r="E86" s="1067"/>
      <c r="F86" s="1067"/>
      <c r="G86" s="1067"/>
      <c r="H86" s="1067"/>
      <c r="I86" s="1067"/>
      <c r="J86" s="1067"/>
      <c r="K86" s="1068"/>
    </row>
    <row r="87" spans="1:11" s="498" customFormat="1" ht="16.5" thickBot="1">
      <c r="A87" s="433" t="s">
        <v>858</v>
      </c>
      <c r="B87" s="1056" t="s">
        <v>859</v>
      </c>
      <c r="C87" s="1056"/>
      <c r="D87" s="1056"/>
      <c r="E87" s="1056"/>
      <c r="F87" s="1056"/>
      <c r="G87" s="1056"/>
      <c r="H87" s="1056"/>
      <c r="I87" s="1056"/>
      <c r="J87" s="1056"/>
      <c r="K87" s="1057"/>
    </row>
    <row r="88" spans="1:11" s="480" customFormat="1" ht="9" customHeight="1" thickBot="1">
      <c r="A88" s="1050"/>
      <c r="B88" s="1051"/>
      <c r="C88" s="1051"/>
      <c r="D88" s="1051"/>
      <c r="E88" s="1051"/>
      <c r="F88" s="1051"/>
      <c r="G88" s="1051"/>
      <c r="H88" s="1051"/>
      <c r="I88" s="1051"/>
      <c r="J88" s="1051"/>
      <c r="K88" s="1052"/>
    </row>
    <row r="89" spans="1:11" s="451" customFormat="1" ht="13.5" thickBot="1">
      <c r="A89" s="444" t="s">
        <v>649</v>
      </c>
      <c r="B89" s="447" t="s">
        <v>649</v>
      </c>
      <c r="C89" s="447" t="s">
        <v>649</v>
      </c>
      <c r="D89" s="447" t="s">
        <v>649</v>
      </c>
      <c r="E89" s="447" t="s">
        <v>649</v>
      </c>
      <c r="F89" s="449" t="s">
        <v>649</v>
      </c>
      <c r="G89" s="449" t="s">
        <v>649</v>
      </c>
      <c r="H89" s="488">
        <f>I89+J89</f>
        <v>359077215</v>
      </c>
      <c r="I89" s="488">
        <v>43881343</v>
      </c>
      <c r="J89" s="488">
        <v>315195872</v>
      </c>
      <c r="K89" s="450" t="s">
        <v>649</v>
      </c>
    </row>
    <row r="90" spans="1:11" s="480" customFormat="1" ht="9" customHeight="1" thickBot="1">
      <c r="A90" s="1053" t="s">
        <v>860</v>
      </c>
      <c r="B90" s="1054"/>
      <c r="C90" s="1054"/>
      <c r="D90" s="1054"/>
      <c r="E90" s="1054"/>
      <c r="F90" s="1054"/>
      <c r="G90" s="1054"/>
      <c r="H90" s="1054"/>
      <c r="I90" s="1054"/>
      <c r="J90" s="1054"/>
      <c r="K90" s="1055"/>
    </row>
    <row r="91" spans="1:11" s="498" customFormat="1" ht="16.5" thickBot="1">
      <c r="A91" s="433" t="s">
        <v>861</v>
      </c>
      <c r="B91" s="1056" t="s">
        <v>862</v>
      </c>
      <c r="C91" s="1056"/>
      <c r="D91" s="1056"/>
      <c r="E91" s="1056"/>
      <c r="F91" s="1056"/>
      <c r="G91" s="1056"/>
      <c r="H91" s="1056"/>
      <c r="I91" s="1056"/>
      <c r="J91" s="1056"/>
      <c r="K91" s="1057"/>
    </row>
    <row r="92" spans="1:11" s="480" customFormat="1" ht="3.75" customHeight="1" thickBot="1">
      <c r="A92" s="1050"/>
      <c r="B92" s="1051"/>
      <c r="C92" s="1051"/>
      <c r="D92" s="1051"/>
      <c r="E92" s="1051"/>
      <c r="F92" s="1051"/>
      <c r="G92" s="1051"/>
      <c r="H92" s="1051"/>
      <c r="I92" s="1051"/>
      <c r="J92" s="1051"/>
      <c r="K92" s="1052"/>
    </row>
    <row r="93" spans="1:11" s="451" customFormat="1" ht="13.5" thickBot="1">
      <c r="A93" s="444" t="s">
        <v>649</v>
      </c>
      <c r="B93" s="447" t="s">
        <v>649</v>
      </c>
      <c r="C93" s="447" t="s">
        <v>649</v>
      </c>
      <c r="D93" s="447" t="s">
        <v>649</v>
      </c>
      <c r="E93" s="447" t="s">
        <v>649</v>
      </c>
      <c r="F93" s="449" t="s">
        <v>649</v>
      </c>
      <c r="G93" s="449" t="s">
        <v>649</v>
      </c>
      <c r="H93" s="488">
        <f>I93+J93</f>
        <v>16113679</v>
      </c>
      <c r="I93" s="488">
        <v>4974609</v>
      </c>
      <c r="J93" s="488">
        <v>11139070</v>
      </c>
      <c r="K93" s="450" t="s">
        <v>649</v>
      </c>
    </row>
    <row r="94" spans="1:11" s="480" customFormat="1" ht="9" customHeight="1" thickBot="1">
      <c r="A94" s="1058"/>
      <c r="B94" s="1059"/>
      <c r="C94" s="1059"/>
      <c r="D94" s="1059"/>
      <c r="E94" s="1059"/>
      <c r="F94" s="1059"/>
      <c r="G94" s="1059"/>
      <c r="H94" s="1059"/>
      <c r="I94" s="1059"/>
      <c r="J94" s="1059"/>
      <c r="K94" s="1060"/>
    </row>
    <row r="95" spans="1:11" s="437" customFormat="1" ht="15" customHeight="1" thickBot="1">
      <c r="A95" s="433"/>
      <c r="B95" s="434"/>
      <c r="C95" s="434"/>
      <c r="D95" s="499" t="s">
        <v>238</v>
      </c>
      <c r="E95" s="434" t="s">
        <v>649</v>
      </c>
      <c r="F95" s="478" t="s">
        <v>649</v>
      </c>
      <c r="G95" s="478" t="s">
        <v>649</v>
      </c>
      <c r="H95" s="435">
        <f>H13</f>
        <v>441519786</v>
      </c>
      <c r="I95" s="435">
        <f>I13</f>
        <v>107884844</v>
      </c>
      <c r="J95" s="435">
        <f>J13</f>
        <v>333634942</v>
      </c>
      <c r="K95" s="479" t="s">
        <v>649</v>
      </c>
    </row>
  </sheetData>
  <sheetProtection password="C25B" sheet="1"/>
  <mergeCells count="27">
    <mergeCell ref="A4:K4"/>
    <mergeCell ref="A5:K5"/>
    <mergeCell ref="A7:A10"/>
    <mergeCell ref="B7:B10"/>
    <mergeCell ref="C7:C10"/>
    <mergeCell ref="D7:D10"/>
    <mergeCell ref="E7:E10"/>
    <mergeCell ref="F7:F10"/>
    <mergeCell ref="G7:G10"/>
    <mergeCell ref="H7:J7"/>
    <mergeCell ref="B87:K87"/>
    <mergeCell ref="K7:K10"/>
    <mergeCell ref="H8:H10"/>
    <mergeCell ref="I8:J8"/>
    <mergeCell ref="I9:I10"/>
    <mergeCell ref="J9:J10"/>
    <mergeCell ref="B15:K15"/>
    <mergeCell ref="A88:K88"/>
    <mergeCell ref="A90:K90"/>
    <mergeCell ref="B91:K91"/>
    <mergeCell ref="A92:K92"/>
    <mergeCell ref="A94:K94"/>
    <mergeCell ref="A46:D46"/>
    <mergeCell ref="A47:K47"/>
    <mergeCell ref="B48:K48"/>
    <mergeCell ref="A85:D85"/>
    <mergeCell ref="A86:K86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6"/>
  <sheetViews>
    <sheetView view="pageBreakPreview" zoomScaleNormal="75" zoomScaleSheetLayoutView="100" zoomScalePageLayoutView="0" workbookViewId="0" topLeftCell="A143">
      <selection activeCell="E158" sqref="E158:F158"/>
    </sheetView>
  </sheetViews>
  <sheetFormatPr defaultColWidth="8" defaultRowHeight="14.25"/>
  <cols>
    <col min="1" max="1" width="2.19921875" style="617" customWidth="1"/>
    <col min="2" max="2" width="3.3984375" style="617" customWidth="1"/>
    <col min="3" max="3" width="3.5" style="617" customWidth="1"/>
    <col min="4" max="4" width="5.3984375" style="617" customWidth="1"/>
    <col min="5" max="5" width="9.59765625" style="618" customWidth="1"/>
    <col min="6" max="6" width="49.3984375" style="610" customWidth="1"/>
    <col min="7" max="7" width="12.3984375" style="611" customWidth="1"/>
    <col min="8" max="8" width="12.59765625" style="612" customWidth="1"/>
    <col min="9" max="13" width="12.19921875" style="612" customWidth="1"/>
    <col min="14" max="16384" width="8" style="613" customWidth="1"/>
  </cols>
  <sheetData>
    <row r="1" spans="4:13" s="500" customFormat="1" ht="15" customHeight="1">
      <c r="D1" s="501"/>
      <c r="E1" s="502"/>
      <c r="F1" s="503"/>
      <c r="G1" s="504"/>
      <c r="H1" s="1145"/>
      <c r="I1" s="1145"/>
      <c r="J1" s="1145"/>
      <c r="K1" s="1145" t="s">
        <v>866</v>
      </c>
      <c r="L1" s="1145"/>
      <c r="M1" s="1145"/>
    </row>
    <row r="2" spans="3:13" s="500" customFormat="1" ht="12.75" customHeight="1">
      <c r="C2" s="505" t="s">
        <v>867</v>
      </c>
      <c r="D2" s="505"/>
      <c r="E2" s="502"/>
      <c r="F2" s="503"/>
      <c r="G2" s="504"/>
      <c r="H2" s="503"/>
      <c r="I2" s="506"/>
      <c r="J2" s="506"/>
      <c r="K2" s="503" t="s">
        <v>333</v>
      </c>
      <c r="L2" s="506"/>
      <c r="M2" s="506"/>
    </row>
    <row r="3" spans="4:13" s="500" customFormat="1" ht="15" customHeight="1">
      <c r="D3" s="505"/>
      <c r="E3" s="502"/>
      <c r="F3" s="503"/>
      <c r="G3" s="504"/>
      <c r="H3" s="503"/>
      <c r="I3" s="506"/>
      <c r="J3" s="506"/>
      <c r="K3" s="503" t="s">
        <v>868</v>
      </c>
      <c r="L3" s="506"/>
      <c r="M3" s="506"/>
    </row>
    <row r="4" spans="1:13" s="500" customFormat="1" ht="15.75" customHeight="1">
      <c r="A4" s="1146" t="s">
        <v>869</v>
      </c>
      <c r="B4" s="1146"/>
      <c r="C4" s="1146"/>
      <c r="D4" s="1146"/>
      <c r="E4" s="1146"/>
      <c r="F4" s="1146"/>
      <c r="G4" s="1146"/>
      <c r="H4" s="1146"/>
      <c r="I4" s="1146"/>
      <c r="J4" s="1146"/>
      <c r="K4" s="1146"/>
      <c r="L4" s="1146"/>
      <c r="M4" s="1146"/>
    </row>
    <row r="5" spans="1:13" s="500" customFormat="1" ht="15" customHeight="1">
      <c r="A5" s="1146" t="s">
        <v>200</v>
      </c>
      <c r="B5" s="1146"/>
      <c r="C5" s="1146"/>
      <c r="D5" s="1146"/>
      <c r="E5" s="1146"/>
      <c r="F5" s="1146"/>
      <c r="G5" s="1146"/>
      <c r="H5" s="1146"/>
      <c r="I5" s="1146"/>
      <c r="J5" s="1146"/>
      <c r="K5" s="1146"/>
      <c r="L5" s="1146"/>
      <c r="M5" s="1146"/>
    </row>
    <row r="6" spans="1:13" s="500" customFormat="1" ht="10.5" customHeight="1">
      <c r="A6" s="507"/>
      <c r="B6" s="507"/>
      <c r="C6" s="507"/>
      <c r="D6" s="507"/>
      <c r="E6" s="508"/>
      <c r="F6" s="506"/>
      <c r="G6" s="509"/>
      <c r="H6" s="501"/>
      <c r="I6" s="501"/>
      <c r="J6" s="501"/>
      <c r="K6" s="501"/>
      <c r="L6" s="501"/>
      <c r="M6" s="501" t="s">
        <v>70</v>
      </c>
    </row>
    <row r="7" spans="1:13" s="512" customFormat="1" ht="30.75" customHeight="1">
      <c r="A7" s="1147" t="s">
        <v>870</v>
      </c>
      <c r="B7" s="1148"/>
      <c r="C7" s="1147" t="s">
        <v>757</v>
      </c>
      <c r="D7" s="1148"/>
      <c r="E7" s="1147" t="s">
        <v>871</v>
      </c>
      <c r="F7" s="1153"/>
      <c r="G7" s="1156" t="s">
        <v>73</v>
      </c>
      <c r="H7" s="1159" t="s">
        <v>872</v>
      </c>
      <c r="I7" s="1160"/>
      <c r="J7" s="1161"/>
      <c r="K7" s="1159" t="s">
        <v>873</v>
      </c>
      <c r="L7" s="1160"/>
      <c r="M7" s="1161"/>
    </row>
    <row r="8" spans="1:13" s="512" customFormat="1" ht="15.75" customHeight="1">
      <c r="A8" s="1149"/>
      <c r="B8" s="1150"/>
      <c r="C8" s="1149"/>
      <c r="D8" s="1150"/>
      <c r="E8" s="1154"/>
      <c r="F8" s="1155"/>
      <c r="G8" s="1157"/>
      <c r="H8" s="1138" t="s">
        <v>874</v>
      </c>
      <c r="I8" s="510" t="s">
        <v>227</v>
      </c>
      <c r="J8" s="511"/>
      <c r="K8" s="1138" t="s">
        <v>874</v>
      </c>
      <c r="L8" s="510" t="s">
        <v>227</v>
      </c>
      <c r="M8" s="511"/>
    </row>
    <row r="9" spans="1:13" s="512" customFormat="1" ht="17.25" customHeight="1">
      <c r="A9" s="1151"/>
      <c r="B9" s="1152"/>
      <c r="C9" s="1151"/>
      <c r="D9" s="1152"/>
      <c r="E9" s="513" t="s">
        <v>468</v>
      </c>
      <c r="F9" s="514"/>
      <c r="G9" s="1158"/>
      <c r="H9" s="1139"/>
      <c r="I9" s="511" t="s">
        <v>875</v>
      </c>
      <c r="J9" s="515" t="s">
        <v>876</v>
      </c>
      <c r="K9" s="1139"/>
      <c r="L9" s="511" t="s">
        <v>875</v>
      </c>
      <c r="M9" s="515" t="s">
        <v>876</v>
      </c>
    </row>
    <row r="10" spans="1:13" s="518" customFormat="1" ht="11.25">
      <c r="A10" s="1140">
        <v>1</v>
      </c>
      <c r="B10" s="1141"/>
      <c r="C10" s="1140">
        <v>2</v>
      </c>
      <c r="D10" s="1141"/>
      <c r="E10" s="516">
        <v>3</v>
      </c>
      <c r="F10" s="516">
        <v>4</v>
      </c>
      <c r="G10" s="516">
        <v>5</v>
      </c>
      <c r="H10" s="517">
        <v>6</v>
      </c>
      <c r="I10" s="517">
        <v>7</v>
      </c>
      <c r="J10" s="517">
        <v>8</v>
      </c>
      <c r="K10" s="517">
        <v>9</v>
      </c>
      <c r="L10" s="517">
        <v>10</v>
      </c>
      <c r="M10" s="517">
        <v>11</v>
      </c>
    </row>
    <row r="11" spans="1:13" s="525" customFormat="1" ht="5.25" customHeight="1" thickBot="1">
      <c r="A11" s="519"/>
      <c r="B11" s="520"/>
      <c r="C11" s="520"/>
      <c r="D11" s="520"/>
      <c r="E11" s="521"/>
      <c r="F11" s="521"/>
      <c r="G11" s="522"/>
      <c r="H11" s="523"/>
      <c r="I11" s="523"/>
      <c r="J11" s="523"/>
      <c r="K11" s="523"/>
      <c r="L11" s="523"/>
      <c r="M11" s="524"/>
    </row>
    <row r="12" spans="1:13" s="528" customFormat="1" ht="20.25" customHeight="1" thickBot="1">
      <c r="A12" s="1142" t="s">
        <v>238</v>
      </c>
      <c r="B12" s="1143"/>
      <c r="C12" s="1143"/>
      <c r="D12" s="1143"/>
      <c r="E12" s="1143"/>
      <c r="F12" s="1144"/>
      <c r="G12" s="526">
        <f>H12+K12</f>
        <v>346276919</v>
      </c>
      <c r="H12" s="527">
        <f>I12+J12</f>
        <v>204004291</v>
      </c>
      <c r="I12" s="527">
        <f>I14+I18+I66</f>
        <v>95769339</v>
      </c>
      <c r="J12" s="527">
        <f>J14+J18+J66</f>
        <v>108234952</v>
      </c>
      <c r="K12" s="527">
        <f>L12+M12</f>
        <v>142272628</v>
      </c>
      <c r="L12" s="527">
        <f>L14+L18+L66</f>
        <v>4797711</v>
      </c>
      <c r="M12" s="527">
        <f>M14+M18+M66</f>
        <v>137474917</v>
      </c>
    </row>
    <row r="13" spans="1:13" s="536" customFormat="1" ht="5.25" customHeight="1" thickBot="1">
      <c r="A13" s="529"/>
      <c r="B13" s="530"/>
      <c r="C13" s="530"/>
      <c r="D13" s="530"/>
      <c r="E13" s="531"/>
      <c r="F13" s="532"/>
      <c r="G13" s="533"/>
      <c r="H13" s="534"/>
      <c r="I13" s="534"/>
      <c r="J13" s="534"/>
      <c r="K13" s="534"/>
      <c r="L13" s="534"/>
      <c r="M13" s="535"/>
    </row>
    <row r="14" spans="1:13" s="539" customFormat="1" ht="18" customHeight="1" thickBot="1">
      <c r="A14" s="1124" t="s">
        <v>877</v>
      </c>
      <c r="B14" s="1125"/>
      <c r="C14" s="1125"/>
      <c r="D14" s="1125"/>
      <c r="E14" s="1125"/>
      <c r="F14" s="1125"/>
      <c r="G14" s="537">
        <f>H14+K14</f>
        <v>96960000</v>
      </c>
      <c r="H14" s="538">
        <f>I14+J14</f>
        <v>0</v>
      </c>
      <c r="I14" s="537">
        <f>I16</f>
        <v>0</v>
      </c>
      <c r="J14" s="537">
        <f>J16</f>
        <v>0</v>
      </c>
      <c r="K14" s="537">
        <f>L14+M14</f>
        <v>96960000</v>
      </c>
      <c r="L14" s="537">
        <f>L16</f>
        <v>0</v>
      </c>
      <c r="M14" s="537">
        <f>M16</f>
        <v>96960000</v>
      </c>
    </row>
    <row r="15" spans="1:13" s="536" customFormat="1" ht="5.25" customHeight="1">
      <c r="A15" s="540"/>
      <c r="B15" s="541"/>
      <c r="C15" s="541"/>
      <c r="D15" s="541"/>
      <c r="E15" s="542"/>
      <c r="F15" s="542"/>
      <c r="G15" s="543"/>
      <c r="H15" s="544"/>
      <c r="I15" s="544"/>
      <c r="J15" s="544"/>
      <c r="K15" s="544"/>
      <c r="L15" s="544"/>
      <c r="M15" s="545"/>
    </row>
    <row r="16" spans="1:13" s="548" customFormat="1" ht="30" customHeight="1">
      <c r="A16" s="1103" t="s">
        <v>80</v>
      </c>
      <c r="B16" s="1104"/>
      <c r="C16" s="1114" t="s">
        <v>253</v>
      </c>
      <c r="D16" s="1115"/>
      <c r="E16" s="1081" t="s">
        <v>878</v>
      </c>
      <c r="F16" s="1082"/>
      <c r="G16" s="546">
        <f>H16+K16</f>
        <v>96960000</v>
      </c>
      <c r="H16" s="547">
        <f>I16+J16</f>
        <v>0</v>
      </c>
      <c r="I16" s="547">
        <v>0</v>
      </c>
      <c r="J16" s="547">
        <v>0</v>
      </c>
      <c r="K16" s="547">
        <f>L16+M16</f>
        <v>96960000</v>
      </c>
      <c r="L16" s="547">
        <v>0</v>
      </c>
      <c r="M16" s="547">
        <v>96960000</v>
      </c>
    </row>
    <row r="17" spans="1:13" s="536" customFormat="1" ht="5.25" customHeight="1" thickBot="1">
      <c r="A17" s="549"/>
      <c r="B17" s="550"/>
      <c r="C17" s="550"/>
      <c r="D17" s="550"/>
      <c r="E17" s="551"/>
      <c r="F17" s="552"/>
      <c r="G17" s="553"/>
      <c r="H17" s="554"/>
      <c r="I17" s="554"/>
      <c r="J17" s="554"/>
      <c r="K17" s="554"/>
      <c r="L17" s="554"/>
      <c r="M17" s="555"/>
    </row>
    <row r="18" spans="1:13" s="539" customFormat="1" ht="18" customHeight="1" thickBot="1">
      <c r="A18" s="1124" t="s">
        <v>879</v>
      </c>
      <c r="B18" s="1125"/>
      <c r="C18" s="1125"/>
      <c r="D18" s="1125"/>
      <c r="E18" s="1125"/>
      <c r="F18" s="1125"/>
      <c r="G18" s="556">
        <f>H18+K18</f>
        <v>77803817</v>
      </c>
      <c r="H18" s="557">
        <f>I18+J18</f>
        <v>77803817</v>
      </c>
      <c r="I18" s="557">
        <f>I20</f>
        <v>0</v>
      </c>
      <c r="J18" s="557">
        <f>J20</f>
        <v>77803817</v>
      </c>
      <c r="K18" s="557">
        <f>L18+M18</f>
        <v>0</v>
      </c>
      <c r="L18" s="557">
        <f>L20</f>
        <v>0</v>
      </c>
      <c r="M18" s="557">
        <f>M20</f>
        <v>0</v>
      </c>
    </row>
    <row r="19" spans="1:13" s="536" customFormat="1" ht="5.25" customHeight="1">
      <c r="A19" s="540"/>
      <c r="B19" s="541"/>
      <c r="C19" s="541"/>
      <c r="D19" s="541"/>
      <c r="E19" s="542"/>
      <c r="F19" s="542"/>
      <c r="G19" s="543"/>
      <c r="H19" s="544"/>
      <c r="I19" s="544"/>
      <c r="J19" s="544"/>
      <c r="K19" s="544"/>
      <c r="L19" s="544"/>
      <c r="M19" s="545"/>
    </row>
    <row r="20" spans="1:13" s="560" customFormat="1" ht="17.25" customHeight="1">
      <c r="A20" s="1121" t="s">
        <v>880</v>
      </c>
      <c r="B20" s="1122"/>
      <c r="C20" s="1122"/>
      <c r="D20" s="1122"/>
      <c r="E20" s="1122"/>
      <c r="F20" s="1123"/>
      <c r="G20" s="558">
        <f>H20+K20</f>
        <v>77803817</v>
      </c>
      <c r="H20" s="559">
        <f>I20+J20</f>
        <v>77803817</v>
      </c>
      <c r="I20" s="559">
        <f>I22+I24+I27+I29+I31+I33+I35+I40+I42+I44+I46+I48+I53+I58+I61+I63</f>
        <v>0</v>
      </c>
      <c r="J20" s="559">
        <f>J22+J24+J27+J29+J31+J33+J35+J40+J42+J44+J46+J48+J53+J58+J61+J63</f>
        <v>77803817</v>
      </c>
      <c r="K20" s="559">
        <f>L20+M20</f>
        <v>0</v>
      </c>
      <c r="L20" s="559">
        <f>L22+L24+L27+L29+L31+L33+L35+L40+L42+L44+L46+L48+L53+L58+L61+L63</f>
        <v>0</v>
      </c>
      <c r="M20" s="559">
        <f>M22+M24+M27+M29+M31+M33+M35+M40+M42+M44+M46+M48+M53+M58+M61+M63</f>
        <v>0</v>
      </c>
    </row>
    <row r="21" spans="1:13" s="566" customFormat="1" ht="5.25" customHeight="1">
      <c r="A21" s="561"/>
      <c r="B21" s="562"/>
      <c r="C21" s="562"/>
      <c r="D21" s="562"/>
      <c r="E21" s="562"/>
      <c r="F21" s="562"/>
      <c r="G21" s="563"/>
      <c r="H21" s="564"/>
      <c r="I21" s="564"/>
      <c r="J21" s="564"/>
      <c r="K21" s="564"/>
      <c r="L21" s="564"/>
      <c r="M21" s="565"/>
    </row>
    <row r="22" spans="1:13" s="512" customFormat="1" ht="18" customHeight="1">
      <c r="A22" s="1126"/>
      <c r="B22" s="1127"/>
      <c r="C22" s="1128"/>
      <c r="D22" s="1129"/>
      <c r="E22" s="1130" t="s">
        <v>791</v>
      </c>
      <c r="F22" s="1131"/>
      <c r="G22" s="567">
        <f aca="true" t="shared" si="0" ref="G22:G38">H22+K22</f>
        <v>7410000</v>
      </c>
      <c r="H22" s="568">
        <f aca="true" t="shared" si="1" ref="H22:H38">I22+J22</f>
        <v>7410000</v>
      </c>
      <c r="I22" s="568">
        <f>I23</f>
        <v>0</v>
      </c>
      <c r="J22" s="568">
        <f>J23</f>
        <v>7410000</v>
      </c>
      <c r="K22" s="568">
        <f aca="true" t="shared" si="2" ref="K22:K36">L22+M22</f>
        <v>0</v>
      </c>
      <c r="L22" s="568">
        <f>L23</f>
        <v>0</v>
      </c>
      <c r="M22" s="568">
        <f>M23</f>
        <v>0</v>
      </c>
    </row>
    <row r="23" spans="1:13" s="500" customFormat="1" ht="18" customHeight="1">
      <c r="A23" s="1086" t="s">
        <v>102</v>
      </c>
      <c r="B23" s="1087"/>
      <c r="C23" s="1088" t="s">
        <v>789</v>
      </c>
      <c r="D23" s="1089"/>
      <c r="E23" s="1090" t="s">
        <v>881</v>
      </c>
      <c r="F23" s="1091"/>
      <c r="G23" s="570">
        <f t="shared" si="0"/>
        <v>7410000</v>
      </c>
      <c r="H23" s="571">
        <f t="shared" si="1"/>
        <v>7410000</v>
      </c>
      <c r="I23" s="571">
        <v>0</v>
      </c>
      <c r="J23" s="571">
        <v>7410000</v>
      </c>
      <c r="K23" s="571">
        <f t="shared" si="2"/>
        <v>0</v>
      </c>
      <c r="L23" s="571">
        <v>0</v>
      </c>
      <c r="M23" s="571">
        <v>0</v>
      </c>
    </row>
    <row r="24" spans="1:13" s="512" customFormat="1" ht="18" customHeight="1">
      <c r="A24" s="1126"/>
      <c r="B24" s="1127"/>
      <c r="C24" s="1128"/>
      <c r="D24" s="1129"/>
      <c r="E24" s="1130" t="s">
        <v>848</v>
      </c>
      <c r="F24" s="1131"/>
      <c r="G24" s="567">
        <f t="shared" si="0"/>
        <v>17497300</v>
      </c>
      <c r="H24" s="568">
        <f t="shared" si="1"/>
        <v>17497300</v>
      </c>
      <c r="I24" s="568">
        <f>I25+I26</f>
        <v>0</v>
      </c>
      <c r="J24" s="568">
        <f>J25+J26</f>
        <v>17497300</v>
      </c>
      <c r="K24" s="568">
        <f t="shared" si="2"/>
        <v>0</v>
      </c>
      <c r="L24" s="568">
        <f>L25+L26</f>
        <v>0</v>
      </c>
      <c r="M24" s="568">
        <f>M25+M26</f>
        <v>0</v>
      </c>
    </row>
    <row r="25" spans="1:13" s="500" customFormat="1" ht="18" customHeight="1">
      <c r="A25" s="1086" t="s">
        <v>102</v>
      </c>
      <c r="B25" s="1087"/>
      <c r="C25" s="1088" t="s">
        <v>789</v>
      </c>
      <c r="D25" s="1089"/>
      <c r="E25" s="1090" t="s">
        <v>881</v>
      </c>
      <c r="F25" s="1091"/>
      <c r="G25" s="570">
        <f t="shared" si="0"/>
        <v>17457300</v>
      </c>
      <c r="H25" s="571">
        <f t="shared" si="1"/>
        <v>17457300</v>
      </c>
      <c r="I25" s="571">
        <v>0</v>
      </c>
      <c r="J25" s="571">
        <v>17457300</v>
      </c>
      <c r="K25" s="571">
        <f t="shared" si="2"/>
        <v>0</v>
      </c>
      <c r="L25" s="571">
        <v>0</v>
      </c>
      <c r="M25" s="571">
        <v>0</v>
      </c>
    </row>
    <row r="26" spans="1:13" s="500" customFormat="1" ht="18" customHeight="1">
      <c r="A26" s="1092"/>
      <c r="B26" s="1093"/>
      <c r="C26" s="1094"/>
      <c r="D26" s="1095"/>
      <c r="E26" s="1090" t="s">
        <v>882</v>
      </c>
      <c r="F26" s="1091"/>
      <c r="G26" s="572">
        <f>H26+K26</f>
        <v>40000</v>
      </c>
      <c r="H26" s="573">
        <f>I26+J26</f>
        <v>40000</v>
      </c>
      <c r="I26" s="573">
        <v>0</v>
      </c>
      <c r="J26" s="573">
        <v>40000</v>
      </c>
      <c r="K26" s="573">
        <f>L26+M26</f>
        <v>0</v>
      </c>
      <c r="L26" s="573">
        <v>0</v>
      </c>
      <c r="M26" s="573">
        <v>0</v>
      </c>
    </row>
    <row r="27" spans="1:13" s="512" customFormat="1" ht="18" customHeight="1">
      <c r="A27" s="1126"/>
      <c r="B27" s="1127"/>
      <c r="C27" s="1128"/>
      <c r="D27" s="1129"/>
      <c r="E27" s="1130" t="s">
        <v>883</v>
      </c>
      <c r="F27" s="1131"/>
      <c r="G27" s="567">
        <f t="shared" si="0"/>
        <v>2000000</v>
      </c>
      <c r="H27" s="568">
        <f t="shared" si="1"/>
        <v>2000000</v>
      </c>
      <c r="I27" s="568">
        <f>I28</f>
        <v>0</v>
      </c>
      <c r="J27" s="568">
        <f>J28</f>
        <v>2000000</v>
      </c>
      <c r="K27" s="568">
        <f t="shared" si="2"/>
        <v>0</v>
      </c>
      <c r="L27" s="568">
        <f>L28</f>
        <v>0</v>
      </c>
      <c r="M27" s="568">
        <f>M28</f>
        <v>0</v>
      </c>
    </row>
    <row r="28" spans="1:13" s="500" customFormat="1" ht="18" customHeight="1">
      <c r="A28" s="1108" t="s">
        <v>102</v>
      </c>
      <c r="B28" s="1109"/>
      <c r="C28" s="1100" t="s">
        <v>789</v>
      </c>
      <c r="D28" s="1101"/>
      <c r="E28" s="1090" t="s">
        <v>881</v>
      </c>
      <c r="F28" s="1091"/>
      <c r="G28" s="570">
        <f t="shared" si="0"/>
        <v>2000000</v>
      </c>
      <c r="H28" s="571">
        <f t="shared" si="1"/>
        <v>2000000</v>
      </c>
      <c r="I28" s="571">
        <v>0</v>
      </c>
      <c r="J28" s="571">
        <v>2000000</v>
      </c>
      <c r="K28" s="571">
        <f t="shared" si="2"/>
        <v>0</v>
      </c>
      <c r="L28" s="571">
        <v>0</v>
      </c>
      <c r="M28" s="571">
        <v>0</v>
      </c>
    </row>
    <row r="29" spans="1:13" s="512" customFormat="1" ht="18" customHeight="1">
      <c r="A29" s="1126"/>
      <c r="B29" s="1127"/>
      <c r="C29" s="1128"/>
      <c r="D29" s="1129"/>
      <c r="E29" s="1130" t="s">
        <v>856</v>
      </c>
      <c r="F29" s="1131"/>
      <c r="G29" s="567">
        <f t="shared" si="0"/>
        <v>8667446</v>
      </c>
      <c r="H29" s="568">
        <f t="shared" si="1"/>
        <v>8667446</v>
      </c>
      <c r="I29" s="568">
        <f>I30</f>
        <v>0</v>
      </c>
      <c r="J29" s="568">
        <f>J30</f>
        <v>8667446</v>
      </c>
      <c r="K29" s="568">
        <f t="shared" si="2"/>
        <v>0</v>
      </c>
      <c r="L29" s="568">
        <f>L30</f>
        <v>0</v>
      </c>
      <c r="M29" s="568">
        <f>M30</f>
        <v>0</v>
      </c>
    </row>
    <row r="30" spans="1:13" s="500" customFormat="1" ht="18" customHeight="1">
      <c r="A30" s="1108" t="s">
        <v>102</v>
      </c>
      <c r="B30" s="1109"/>
      <c r="C30" s="1100" t="s">
        <v>854</v>
      </c>
      <c r="D30" s="1101"/>
      <c r="E30" s="1090" t="s">
        <v>881</v>
      </c>
      <c r="F30" s="1091"/>
      <c r="G30" s="570">
        <f t="shared" si="0"/>
        <v>8667446</v>
      </c>
      <c r="H30" s="571">
        <f t="shared" si="1"/>
        <v>8667446</v>
      </c>
      <c r="I30" s="571">
        <v>0</v>
      </c>
      <c r="J30" s="571">
        <v>8667446</v>
      </c>
      <c r="K30" s="571">
        <f t="shared" si="2"/>
        <v>0</v>
      </c>
      <c r="L30" s="571">
        <v>0</v>
      </c>
      <c r="M30" s="571">
        <v>0</v>
      </c>
    </row>
    <row r="31" spans="1:13" s="512" customFormat="1" ht="18" customHeight="1">
      <c r="A31" s="1126"/>
      <c r="B31" s="1127"/>
      <c r="C31" s="1128"/>
      <c r="D31" s="1129"/>
      <c r="E31" s="1130" t="s">
        <v>884</v>
      </c>
      <c r="F31" s="1131"/>
      <c r="G31" s="567">
        <f t="shared" si="0"/>
        <v>2000000</v>
      </c>
      <c r="H31" s="568">
        <f t="shared" si="1"/>
        <v>2000000</v>
      </c>
      <c r="I31" s="568">
        <f>I32</f>
        <v>0</v>
      </c>
      <c r="J31" s="568">
        <f>J32</f>
        <v>2000000</v>
      </c>
      <c r="K31" s="568">
        <f t="shared" si="2"/>
        <v>0</v>
      </c>
      <c r="L31" s="568">
        <f>L32</f>
        <v>0</v>
      </c>
      <c r="M31" s="568">
        <f>M32</f>
        <v>0</v>
      </c>
    </row>
    <row r="32" spans="1:13" s="500" customFormat="1" ht="18" customHeight="1">
      <c r="A32" s="1086" t="s">
        <v>102</v>
      </c>
      <c r="B32" s="1087"/>
      <c r="C32" s="1088" t="s">
        <v>792</v>
      </c>
      <c r="D32" s="1089"/>
      <c r="E32" s="1090" t="s">
        <v>881</v>
      </c>
      <c r="F32" s="1091"/>
      <c r="G32" s="570">
        <f t="shared" si="0"/>
        <v>2000000</v>
      </c>
      <c r="H32" s="571">
        <f t="shared" si="1"/>
        <v>2000000</v>
      </c>
      <c r="I32" s="571">
        <v>0</v>
      </c>
      <c r="J32" s="571">
        <v>2000000</v>
      </c>
      <c r="K32" s="571">
        <f t="shared" si="2"/>
        <v>0</v>
      </c>
      <c r="L32" s="571">
        <v>0</v>
      </c>
      <c r="M32" s="571">
        <v>0</v>
      </c>
    </row>
    <row r="33" spans="1:13" s="512" customFormat="1" ht="18" customHeight="1">
      <c r="A33" s="1126"/>
      <c r="B33" s="1127"/>
      <c r="C33" s="1128"/>
      <c r="D33" s="1129"/>
      <c r="E33" s="1130" t="s">
        <v>885</v>
      </c>
      <c r="F33" s="1131"/>
      <c r="G33" s="567">
        <f t="shared" si="0"/>
        <v>2725630</v>
      </c>
      <c r="H33" s="568">
        <f t="shared" si="1"/>
        <v>2725630</v>
      </c>
      <c r="I33" s="568">
        <f>I34</f>
        <v>0</v>
      </c>
      <c r="J33" s="568">
        <f>J34</f>
        <v>2725630</v>
      </c>
      <c r="K33" s="568">
        <f t="shared" si="2"/>
        <v>0</v>
      </c>
      <c r="L33" s="568">
        <f>L34</f>
        <v>0</v>
      </c>
      <c r="M33" s="568">
        <f>M34</f>
        <v>0</v>
      </c>
    </row>
    <row r="34" spans="1:13" s="500" customFormat="1" ht="18" customHeight="1">
      <c r="A34" s="1108" t="s">
        <v>102</v>
      </c>
      <c r="B34" s="1109"/>
      <c r="C34" s="1100" t="s">
        <v>792</v>
      </c>
      <c r="D34" s="1101"/>
      <c r="E34" s="1090" t="s">
        <v>881</v>
      </c>
      <c r="F34" s="1091"/>
      <c r="G34" s="570">
        <f t="shared" si="0"/>
        <v>2725630</v>
      </c>
      <c r="H34" s="571">
        <f t="shared" si="1"/>
        <v>2725630</v>
      </c>
      <c r="I34" s="571">
        <v>0</v>
      </c>
      <c r="J34" s="571">
        <v>2725630</v>
      </c>
      <c r="K34" s="571">
        <f t="shared" si="2"/>
        <v>0</v>
      </c>
      <c r="L34" s="571">
        <v>0</v>
      </c>
      <c r="M34" s="571">
        <v>0</v>
      </c>
    </row>
    <row r="35" spans="1:13" s="512" customFormat="1" ht="18" customHeight="1">
      <c r="A35" s="1126"/>
      <c r="B35" s="1127"/>
      <c r="C35" s="1128"/>
      <c r="D35" s="1129"/>
      <c r="E35" s="1130" t="s">
        <v>886</v>
      </c>
      <c r="F35" s="1131"/>
      <c r="G35" s="567">
        <f t="shared" si="0"/>
        <v>981031</v>
      </c>
      <c r="H35" s="568">
        <f t="shared" si="1"/>
        <v>981031</v>
      </c>
      <c r="I35" s="568">
        <f>I36+I39</f>
        <v>0</v>
      </c>
      <c r="J35" s="568">
        <f>J36+J39</f>
        <v>981031</v>
      </c>
      <c r="K35" s="568">
        <f t="shared" si="2"/>
        <v>0</v>
      </c>
      <c r="L35" s="568">
        <f>L36+L39</f>
        <v>0</v>
      </c>
      <c r="M35" s="568">
        <f>M36+M39</f>
        <v>0</v>
      </c>
    </row>
    <row r="36" spans="1:13" s="500" customFormat="1" ht="18" customHeight="1">
      <c r="A36" s="1086" t="s">
        <v>102</v>
      </c>
      <c r="B36" s="1087"/>
      <c r="C36" s="1088" t="s">
        <v>792</v>
      </c>
      <c r="D36" s="1089"/>
      <c r="E36" s="1090" t="s">
        <v>887</v>
      </c>
      <c r="F36" s="1091"/>
      <c r="G36" s="570">
        <f t="shared" si="0"/>
        <v>841031</v>
      </c>
      <c r="H36" s="571">
        <f t="shared" si="1"/>
        <v>841031</v>
      </c>
      <c r="I36" s="571">
        <f>I37+I38</f>
        <v>0</v>
      </c>
      <c r="J36" s="571">
        <f>J37+J38</f>
        <v>841031</v>
      </c>
      <c r="K36" s="571">
        <f t="shared" si="2"/>
        <v>0</v>
      </c>
      <c r="L36" s="571">
        <f>L37+L38</f>
        <v>0</v>
      </c>
      <c r="M36" s="571">
        <f>M37+M38</f>
        <v>0</v>
      </c>
    </row>
    <row r="37" spans="1:13" s="576" customFormat="1" ht="18" customHeight="1">
      <c r="A37" s="1132"/>
      <c r="B37" s="1133"/>
      <c r="C37" s="1134"/>
      <c r="D37" s="1135"/>
      <c r="E37" s="1136" t="s">
        <v>888</v>
      </c>
      <c r="F37" s="1137"/>
      <c r="G37" s="574">
        <f t="shared" si="0"/>
        <v>772871</v>
      </c>
      <c r="H37" s="575">
        <f t="shared" si="1"/>
        <v>772871</v>
      </c>
      <c r="I37" s="575"/>
      <c r="J37" s="575">
        <v>772871</v>
      </c>
      <c r="K37" s="575"/>
      <c r="L37" s="575"/>
      <c r="M37" s="575"/>
    </row>
    <row r="38" spans="1:13" s="576" customFormat="1" ht="18" customHeight="1">
      <c r="A38" s="1132"/>
      <c r="B38" s="1133"/>
      <c r="C38" s="1134"/>
      <c r="D38" s="1135"/>
      <c r="E38" s="1136" t="s">
        <v>889</v>
      </c>
      <c r="F38" s="1137"/>
      <c r="G38" s="574">
        <f t="shared" si="0"/>
        <v>68160</v>
      </c>
      <c r="H38" s="575">
        <f t="shared" si="1"/>
        <v>68160</v>
      </c>
      <c r="I38" s="577"/>
      <c r="J38" s="577">
        <v>68160</v>
      </c>
      <c r="K38" s="577"/>
      <c r="L38" s="577"/>
      <c r="M38" s="577"/>
    </row>
    <row r="39" spans="1:13" s="500" customFormat="1" ht="18" customHeight="1">
      <c r="A39" s="1092"/>
      <c r="B39" s="1093"/>
      <c r="C39" s="1094"/>
      <c r="D39" s="1095"/>
      <c r="E39" s="1090" t="s">
        <v>890</v>
      </c>
      <c r="F39" s="1091"/>
      <c r="G39" s="572">
        <f>H39+K39</f>
        <v>140000</v>
      </c>
      <c r="H39" s="573">
        <f>I39+J39</f>
        <v>140000</v>
      </c>
      <c r="I39" s="573">
        <v>0</v>
      </c>
      <c r="J39" s="573">
        <v>140000</v>
      </c>
      <c r="K39" s="573">
        <f>L39+M39</f>
        <v>0</v>
      </c>
      <c r="L39" s="573">
        <v>0</v>
      </c>
      <c r="M39" s="573">
        <v>0</v>
      </c>
    </row>
    <row r="40" spans="1:13" s="512" customFormat="1" ht="18" customHeight="1">
      <c r="A40" s="1128"/>
      <c r="B40" s="1129"/>
      <c r="C40" s="1128"/>
      <c r="D40" s="1129"/>
      <c r="E40" s="1130" t="s">
        <v>794</v>
      </c>
      <c r="F40" s="1131"/>
      <c r="G40" s="567">
        <f aca="true" t="shared" si="3" ref="G40:G64">H40+K40</f>
        <v>950000</v>
      </c>
      <c r="H40" s="568">
        <f aca="true" t="shared" si="4" ref="H40:H64">I40+J40</f>
        <v>950000</v>
      </c>
      <c r="I40" s="568">
        <f>I41</f>
        <v>0</v>
      </c>
      <c r="J40" s="568">
        <f>J41</f>
        <v>950000</v>
      </c>
      <c r="K40" s="568">
        <f aca="true" t="shared" si="5" ref="K40:K49">L40+M40</f>
        <v>0</v>
      </c>
      <c r="L40" s="568">
        <f>L41</f>
        <v>0</v>
      </c>
      <c r="M40" s="568">
        <f>M41</f>
        <v>0</v>
      </c>
    </row>
    <row r="41" spans="1:13" s="500" customFormat="1" ht="18" customHeight="1">
      <c r="A41" s="1108" t="s">
        <v>102</v>
      </c>
      <c r="B41" s="1109"/>
      <c r="C41" s="1100" t="s">
        <v>792</v>
      </c>
      <c r="D41" s="1101"/>
      <c r="E41" s="1090" t="s">
        <v>881</v>
      </c>
      <c r="F41" s="1091"/>
      <c r="G41" s="572">
        <f t="shared" si="3"/>
        <v>950000</v>
      </c>
      <c r="H41" s="573">
        <f t="shared" si="4"/>
        <v>950000</v>
      </c>
      <c r="I41" s="573">
        <v>0</v>
      </c>
      <c r="J41" s="573">
        <v>950000</v>
      </c>
      <c r="K41" s="573">
        <f t="shared" si="5"/>
        <v>0</v>
      </c>
      <c r="L41" s="573">
        <v>0</v>
      </c>
      <c r="M41" s="573">
        <v>0</v>
      </c>
    </row>
    <row r="42" spans="1:13" s="512" customFormat="1" ht="18" customHeight="1">
      <c r="A42" s="1128"/>
      <c r="B42" s="1129"/>
      <c r="C42" s="1128"/>
      <c r="D42" s="1129"/>
      <c r="E42" s="1130" t="s">
        <v>891</v>
      </c>
      <c r="F42" s="1131"/>
      <c r="G42" s="567">
        <f t="shared" si="3"/>
        <v>983220</v>
      </c>
      <c r="H42" s="568">
        <f t="shared" si="4"/>
        <v>983220</v>
      </c>
      <c r="I42" s="568">
        <f>I43</f>
        <v>0</v>
      </c>
      <c r="J42" s="568">
        <f>J43</f>
        <v>983220</v>
      </c>
      <c r="K42" s="568">
        <f t="shared" si="5"/>
        <v>0</v>
      </c>
      <c r="L42" s="568">
        <f>L43</f>
        <v>0</v>
      </c>
      <c r="M42" s="568">
        <f>M43</f>
        <v>0</v>
      </c>
    </row>
    <row r="43" spans="1:13" s="500" customFormat="1" ht="18" customHeight="1">
      <c r="A43" s="1108" t="s">
        <v>102</v>
      </c>
      <c r="B43" s="1109"/>
      <c r="C43" s="1100" t="s">
        <v>892</v>
      </c>
      <c r="D43" s="1101"/>
      <c r="E43" s="1090" t="s">
        <v>881</v>
      </c>
      <c r="F43" s="1091"/>
      <c r="G43" s="572">
        <f t="shared" si="3"/>
        <v>983220</v>
      </c>
      <c r="H43" s="573">
        <f t="shared" si="4"/>
        <v>983220</v>
      </c>
      <c r="I43" s="573">
        <v>0</v>
      </c>
      <c r="J43" s="573">
        <v>983220</v>
      </c>
      <c r="K43" s="573">
        <f t="shared" si="5"/>
        <v>0</v>
      </c>
      <c r="L43" s="573">
        <v>0</v>
      </c>
      <c r="M43" s="573">
        <v>0</v>
      </c>
    </row>
    <row r="44" spans="1:13" s="512" customFormat="1" ht="18" customHeight="1">
      <c r="A44" s="1128"/>
      <c r="B44" s="1129"/>
      <c r="C44" s="1128"/>
      <c r="D44" s="1129"/>
      <c r="E44" s="1130" t="s">
        <v>893</v>
      </c>
      <c r="F44" s="1131"/>
      <c r="G44" s="567">
        <f t="shared" si="3"/>
        <v>1367000</v>
      </c>
      <c r="H44" s="568">
        <f t="shared" si="4"/>
        <v>1367000</v>
      </c>
      <c r="I44" s="568">
        <f>I45</f>
        <v>0</v>
      </c>
      <c r="J44" s="568">
        <f>J45</f>
        <v>1367000</v>
      </c>
      <c r="K44" s="568">
        <f t="shared" si="5"/>
        <v>0</v>
      </c>
      <c r="L44" s="568">
        <f>L45</f>
        <v>0</v>
      </c>
      <c r="M44" s="568">
        <f>M45</f>
        <v>0</v>
      </c>
    </row>
    <row r="45" spans="1:13" s="500" customFormat="1" ht="18" customHeight="1">
      <c r="A45" s="1108" t="s">
        <v>102</v>
      </c>
      <c r="B45" s="1109"/>
      <c r="C45" s="1100" t="s">
        <v>892</v>
      </c>
      <c r="D45" s="1101"/>
      <c r="E45" s="1090" t="s">
        <v>881</v>
      </c>
      <c r="F45" s="1091"/>
      <c r="G45" s="572">
        <f t="shared" si="3"/>
        <v>1367000</v>
      </c>
      <c r="H45" s="573">
        <f t="shared" si="4"/>
        <v>1367000</v>
      </c>
      <c r="I45" s="573">
        <v>0</v>
      </c>
      <c r="J45" s="573">
        <v>1367000</v>
      </c>
      <c r="K45" s="573">
        <f t="shared" si="5"/>
        <v>0</v>
      </c>
      <c r="L45" s="573">
        <v>0</v>
      </c>
      <c r="M45" s="573">
        <v>0</v>
      </c>
    </row>
    <row r="46" spans="1:13" s="512" customFormat="1" ht="18" customHeight="1">
      <c r="A46" s="1126"/>
      <c r="B46" s="1127"/>
      <c r="C46" s="1128"/>
      <c r="D46" s="1129"/>
      <c r="E46" s="1130" t="s">
        <v>894</v>
      </c>
      <c r="F46" s="1131"/>
      <c r="G46" s="567">
        <f t="shared" si="3"/>
        <v>1299500</v>
      </c>
      <c r="H46" s="568">
        <f t="shared" si="4"/>
        <v>1299500</v>
      </c>
      <c r="I46" s="568">
        <f>I47</f>
        <v>0</v>
      </c>
      <c r="J46" s="568">
        <f>J47</f>
        <v>1299500</v>
      </c>
      <c r="K46" s="568">
        <f t="shared" si="5"/>
        <v>0</v>
      </c>
      <c r="L46" s="568">
        <f>L47</f>
        <v>0</v>
      </c>
      <c r="M46" s="568">
        <f>M47</f>
        <v>0</v>
      </c>
    </row>
    <row r="47" spans="1:13" s="500" customFormat="1" ht="18" customHeight="1">
      <c r="A47" s="1108" t="s">
        <v>102</v>
      </c>
      <c r="B47" s="1109"/>
      <c r="C47" s="1100" t="s">
        <v>895</v>
      </c>
      <c r="D47" s="1101"/>
      <c r="E47" s="1090" t="s">
        <v>881</v>
      </c>
      <c r="F47" s="1091"/>
      <c r="G47" s="570">
        <f t="shared" si="3"/>
        <v>1299500</v>
      </c>
      <c r="H47" s="571">
        <f t="shared" si="4"/>
        <v>1299500</v>
      </c>
      <c r="I47" s="571">
        <v>0</v>
      </c>
      <c r="J47" s="571">
        <v>1299500</v>
      </c>
      <c r="K47" s="571">
        <f t="shared" si="5"/>
        <v>0</v>
      </c>
      <c r="L47" s="571">
        <v>0</v>
      </c>
      <c r="M47" s="571">
        <v>0</v>
      </c>
    </row>
    <row r="48" spans="1:13" s="512" customFormat="1" ht="18" customHeight="1">
      <c r="A48" s="1126"/>
      <c r="B48" s="1127"/>
      <c r="C48" s="1128"/>
      <c r="D48" s="1129"/>
      <c r="E48" s="1130" t="s">
        <v>896</v>
      </c>
      <c r="F48" s="1131"/>
      <c r="G48" s="567">
        <f t="shared" si="3"/>
        <v>10213690</v>
      </c>
      <c r="H48" s="568">
        <f t="shared" si="4"/>
        <v>10213690</v>
      </c>
      <c r="I48" s="568">
        <f>I49+I52</f>
        <v>0</v>
      </c>
      <c r="J48" s="568">
        <f>J49+J52</f>
        <v>10213690</v>
      </c>
      <c r="K48" s="568">
        <f t="shared" si="5"/>
        <v>0</v>
      </c>
      <c r="L48" s="568">
        <f>L49+L52</f>
        <v>0</v>
      </c>
      <c r="M48" s="568">
        <f>M49+M52</f>
        <v>0</v>
      </c>
    </row>
    <row r="49" spans="1:13" s="500" customFormat="1" ht="18" customHeight="1">
      <c r="A49" s="1086" t="s">
        <v>102</v>
      </c>
      <c r="B49" s="1087"/>
      <c r="C49" s="1088" t="s">
        <v>897</v>
      </c>
      <c r="D49" s="1089"/>
      <c r="E49" s="1090" t="s">
        <v>887</v>
      </c>
      <c r="F49" s="1091"/>
      <c r="G49" s="570">
        <f t="shared" si="3"/>
        <v>10053690</v>
      </c>
      <c r="H49" s="571">
        <f t="shared" si="4"/>
        <v>10053690</v>
      </c>
      <c r="I49" s="571">
        <f>I50+I51</f>
        <v>0</v>
      </c>
      <c r="J49" s="571">
        <f>J50+J51</f>
        <v>10053690</v>
      </c>
      <c r="K49" s="571">
        <f t="shared" si="5"/>
        <v>0</v>
      </c>
      <c r="L49" s="571">
        <f>L50+L51</f>
        <v>0</v>
      </c>
      <c r="M49" s="571">
        <f>M50+M51</f>
        <v>0</v>
      </c>
    </row>
    <row r="50" spans="1:13" s="576" customFormat="1" ht="18" customHeight="1">
      <c r="A50" s="1132"/>
      <c r="B50" s="1133"/>
      <c r="C50" s="1134"/>
      <c r="D50" s="1135"/>
      <c r="E50" s="1136" t="s">
        <v>888</v>
      </c>
      <c r="F50" s="1137"/>
      <c r="G50" s="574">
        <f t="shared" si="3"/>
        <v>8053690</v>
      </c>
      <c r="H50" s="575">
        <f t="shared" si="4"/>
        <v>8053690</v>
      </c>
      <c r="I50" s="575"/>
      <c r="J50" s="575">
        <v>8053690</v>
      </c>
      <c r="K50" s="575"/>
      <c r="L50" s="575"/>
      <c r="M50" s="575"/>
    </row>
    <row r="51" spans="1:13" s="576" customFormat="1" ht="18" customHeight="1">
      <c r="A51" s="1132"/>
      <c r="B51" s="1133"/>
      <c r="C51" s="1134"/>
      <c r="D51" s="1135"/>
      <c r="E51" s="1136" t="s">
        <v>898</v>
      </c>
      <c r="F51" s="1137"/>
      <c r="G51" s="574">
        <f t="shared" si="3"/>
        <v>2000000</v>
      </c>
      <c r="H51" s="575">
        <f t="shared" si="4"/>
        <v>2000000</v>
      </c>
      <c r="I51" s="575"/>
      <c r="J51" s="575">
        <v>2000000</v>
      </c>
      <c r="K51" s="575"/>
      <c r="L51" s="575"/>
      <c r="M51" s="575"/>
    </row>
    <row r="52" spans="1:13" s="500" customFormat="1" ht="18" customHeight="1">
      <c r="A52" s="1110"/>
      <c r="B52" s="1111"/>
      <c r="C52" s="1112"/>
      <c r="D52" s="1113"/>
      <c r="E52" s="1090" t="s">
        <v>899</v>
      </c>
      <c r="F52" s="1091"/>
      <c r="G52" s="572">
        <f t="shared" si="3"/>
        <v>160000</v>
      </c>
      <c r="H52" s="573">
        <f t="shared" si="4"/>
        <v>160000</v>
      </c>
      <c r="I52" s="573">
        <v>0</v>
      </c>
      <c r="J52" s="573">
        <v>160000</v>
      </c>
      <c r="K52" s="573">
        <f>L52+M52</f>
        <v>0</v>
      </c>
      <c r="L52" s="573">
        <v>0</v>
      </c>
      <c r="M52" s="573">
        <v>0</v>
      </c>
    </row>
    <row r="53" spans="1:13" s="512" customFormat="1" ht="18" customHeight="1">
      <c r="A53" s="1126"/>
      <c r="B53" s="1127"/>
      <c r="C53" s="1128"/>
      <c r="D53" s="1129"/>
      <c r="E53" s="1130" t="s">
        <v>900</v>
      </c>
      <c r="F53" s="1131"/>
      <c r="G53" s="567">
        <f t="shared" si="3"/>
        <v>8879000</v>
      </c>
      <c r="H53" s="568">
        <f t="shared" si="4"/>
        <v>8879000</v>
      </c>
      <c r="I53" s="568">
        <f>I54+I57</f>
        <v>0</v>
      </c>
      <c r="J53" s="568">
        <f>J54+J57</f>
        <v>8879000</v>
      </c>
      <c r="K53" s="568">
        <f>L53+M53</f>
        <v>0</v>
      </c>
      <c r="L53" s="568">
        <f>L54+L57</f>
        <v>0</v>
      </c>
      <c r="M53" s="568">
        <f>M54+M57</f>
        <v>0</v>
      </c>
    </row>
    <row r="54" spans="1:13" s="500" customFormat="1" ht="18" customHeight="1">
      <c r="A54" s="1086" t="s">
        <v>102</v>
      </c>
      <c r="B54" s="1087"/>
      <c r="C54" s="1088" t="s">
        <v>897</v>
      </c>
      <c r="D54" s="1089"/>
      <c r="E54" s="1090" t="s">
        <v>887</v>
      </c>
      <c r="F54" s="1091"/>
      <c r="G54" s="570">
        <f t="shared" si="3"/>
        <v>8864000</v>
      </c>
      <c r="H54" s="571">
        <f t="shared" si="4"/>
        <v>8864000</v>
      </c>
      <c r="I54" s="571">
        <f>I55+I56</f>
        <v>0</v>
      </c>
      <c r="J54" s="571">
        <f>J55+J56</f>
        <v>8864000</v>
      </c>
      <c r="K54" s="571">
        <f>L54+M54</f>
        <v>0</v>
      </c>
      <c r="L54" s="571">
        <f>L55+L56</f>
        <v>0</v>
      </c>
      <c r="M54" s="571">
        <f>M55+M56</f>
        <v>0</v>
      </c>
    </row>
    <row r="55" spans="1:13" s="576" customFormat="1" ht="18" customHeight="1">
      <c r="A55" s="1132"/>
      <c r="B55" s="1133"/>
      <c r="C55" s="1134"/>
      <c r="D55" s="1135"/>
      <c r="E55" s="1136" t="s">
        <v>888</v>
      </c>
      <c r="F55" s="1137"/>
      <c r="G55" s="574">
        <f t="shared" si="3"/>
        <v>7664000</v>
      </c>
      <c r="H55" s="575">
        <f t="shared" si="4"/>
        <v>7664000</v>
      </c>
      <c r="I55" s="575"/>
      <c r="J55" s="575">
        <v>7664000</v>
      </c>
      <c r="K55" s="575"/>
      <c r="L55" s="575"/>
      <c r="M55" s="575"/>
    </row>
    <row r="56" spans="1:13" s="576" customFormat="1" ht="18" customHeight="1">
      <c r="A56" s="1132"/>
      <c r="B56" s="1133"/>
      <c r="C56" s="1134"/>
      <c r="D56" s="1135"/>
      <c r="E56" s="1136" t="s">
        <v>901</v>
      </c>
      <c r="F56" s="1137"/>
      <c r="G56" s="574">
        <f t="shared" si="3"/>
        <v>1200000</v>
      </c>
      <c r="H56" s="575">
        <f t="shared" si="4"/>
        <v>1200000</v>
      </c>
      <c r="I56" s="575"/>
      <c r="J56" s="575">
        <v>1200000</v>
      </c>
      <c r="K56" s="575"/>
      <c r="L56" s="575"/>
      <c r="M56" s="575"/>
    </row>
    <row r="57" spans="1:13" s="578" customFormat="1" ht="30" customHeight="1">
      <c r="A57" s="1077"/>
      <c r="B57" s="1078"/>
      <c r="C57" s="1096"/>
      <c r="D57" s="1097"/>
      <c r="E57" s="1081" t="s">
        <v>902</v>
      </c>
      <c r="F57" s="1082"/>
      <c r="G57" s="546">
        <f t="shared" si="3"/>
        <v>15000</v>
      </c>
      <c r="H57" s="547">
        <f t="shared" si="4"/>
        <v>15000</v>
      </c>
      <c r="I57" s="547">
        <v>0</v>
      </c>
      <c r="J57" s="547">
        <v>15000</v>
      </c>
      <c r="K57" s="547">
        <f>L57+M57</f>
        <v>0</v>
      </c>
      <c r="L57" s="547">
        <v>0</v>
      </c>
      <c r="M57" s="547">
        <v>0</v>
      </c>
    </row>
    <row r="58" spans="1:13" s="512" customFormat="1" ht="18" customHeight="1">
      <c r="A58" s="1126"/>
      <c r="B58" s="1127"/>
      <c r="C58" s="1128"/>
      <c r="D58" s="1129"/>
      <c r="E58" s="1130" t="s">
        <v>903</v>
      </c>
      <c r="F58" s="1131"/>
      <c r="G58" s="567">
        <f t="shared" si="3"/>
        <v>5680000</v>
      </c>
      <c r="H58" s="568">
        <f t="shared" si="4"/>
        <v>5680000</v>
      </c>
      <c r="I58" s="568">
        <f>I59+I60</f>
        <v>0</v>
      </c>
      <c r="J58" s="568">
        <f>J59+J60</f>
        <v>5680000</v>
      </c>
      <c r="K58" s="568">
        <f aca="true" t="shared" si="6" ref="K58:K64">L58+M58</f>
        <v>0</v>
      </c>
      <c r="L58" s="568">
        <f>L59+L60</f>
        <v>0</v>
      </c>
      <c r="M58" s="568">
        <f>M59+M60</f>
        <v>0</v>
      </c>
    </row>
    <row r="59" spans="1:13" s="500" customFormat="1" ht="18" customHeight="1">
      <c r="A59" s="1086" t="s">
        <v>102</v>
      </c>
      <c r="B59" s="1087"/>
      <c r="C59" s="1088" t="s">
        <v>795</v>
      </c>
      <c r="D59" s="1089"/>
      <c r="E59" s="1090" t="s">
        <v>881</v>
      </c>
      <c r="F59" s="1091"/>
      <c r="G59" s="570">
        <f t="shared" si="3"/>
        <v>5540000</v>
      </c>
      <c r="H59" s="571">
        <f t="shared" si="4"/>
        <v>5540000</v>
      </c>
      <c r="I59" s="571">
        <v>0</v>
      </c>
      <c r="J59" s="571">
        <v>5540000</v>
      </c>
      <c r="K59" s="571">
        <f t="shared" si="6"/>
        <v>0</v>
      </c>
      <c r="L59" s="571">
        <v>0</v>
      </c>
      <c r="M59" s="571">
        <v>0</v>
      </c>
    </row>
    <row r="60" spans="1:13" s="500" customFormat="1" ht="18" customHeight="1">
      <c r="A60" s="1092"/>
      <c r="B60" s="1093"/>
      <c r="C60" s="1094"/>
      <c r="D60" s="1095"/>
      <c r="E60" s="1090" t="s">
        <v>904</v>
      </c>
      <c r="F60" s="1091"/>
      <c r="G60" s="572">
        <f>H60+K60</f>
        <v>140000</v>
      </c>
      <c r="H60" s="573">
        <f>I60+J60</f>
        <v>140000</v>
      </c>
      <c r="I60" s="573">
        <v>0</v>
      </c>
      <c r="J60" s="573">
        <v>140000</v>
      </c>
      <c r="K60" s="573">
        <f>L60+M60</f>
        <v>0</v>
      </c>
      <c r="L60" s="573">
        <v>0</v>
      </c>
      <c r="M60" s="573">
        <v>0</v>
      </c>
    </row>
    <row r="61" spans="1:13" s="512" customFormat="1" ht="18" customHeight="1">
      <c r="A61" s="1126"/>
      <c r="B61" s="1127"/>
      <c r="C61" s="1128"/>
      <c r="D61" s="1129"/>
      <c r="E61" s="1130" t="s">
        <v>797</v>
      </c>
      <c r="F61" s="1131"/>
      <c r="G61" s="567">
        <f t="shared" si="3"/>
        <v>4600000</v>
      </c>
      <c r="H61" s="568">
        <f t="shared" si="4"/>
        <v>4600000</v>
      </c>
      <c r="I61" s="568">
        <f>I62</f>
        <v>0</v>
      </c>
      <c r="J61" s="568">
        <f>J62</f>
        <v>4600000</v>
      </c>
      <c r="K61" s="568">
        <f t="shared" si="6"/>
        <v>0</v>
      </c>
      <c r="L61" s="568">
        <f>L62</f>
        <v>0</v>
      </c>
      <c r="M61" s="568">
        <f>M62</f>
        <v>0</v>
      </c>
    </row>
    <row r="62" spans="1:13" s="500" customFormat="1" ht="18" customHeight="1">
      <c r="A62" s="1108" t="s">
        <v>102</v>
      </c>
      <c r="B62" s="1109"/>
      <c r="C62" s="1100" t="s">
        <v>795</v>
      </c>
      <c r="D62" s="1101"/>
      <c r="E62" s="1090" t="s">
        <v>881</v>
      </c>
      <c r="F62" s="1091"/>
      <c r="G62" s="570">
        <f t="shared" si="3"/>
        <v>4600000</v>
      </c>
      <c r="H62" s="571">
        <f t="shared" si="4"/>
        <v>4600000</v>
      </c>
      <c r="I62" s="571">
        <v>0</v>
      </c>
      <c r="J62" s="571">
        <v>4600000</v>
      </c>
      <c r="K62" s="571">
        <f t="shared" si="6"/>
        <v>0</v>
      </c>
      <c r="L62" s="571">
        <v>0</v>
      </c>
      <c r="M62" s="571">
        <v>0</v>
      </c>
    </row>
    <row r="63" spans="1:13" s="512" customFormat="1" ht="18" customHeight="1">
      <c r="A63" s="1126"/>
      <c r="B63" s="1127"/>
      <c r="C63" s="1128"/>
      <c r="D63" s="1129"/>
      <c r="E63" s="1130" t="s">
        <v>905</v>
      </c>
      <c r="F63" s="1131"/>
      <c r="G63" s="567">
        <f t="shared" si="3"/>
        <v>2550000</v>
      </c>
      <c r="H63" s="568">
        <f t="shared" si="4"/>
        <v>2550000</v>
      </c>
      <c r="I63" s="568">
        <f>I64</f>
        <v>0</v>
      </c>
      <c r="J63" s="568">
        <f>J64</f>
        <v>2550000</v>
      </c>
      <c r="K63" s="568">
        <f t="shared" si="6"/>
        <v>0</v>
      </c>
      <c r="L63" s="568">
        <f>L64</f>
        <v>0</v>
      </c>
      <c r="M63" s="568">
        <f>M64</f>
        <v>0</v>
      </c>
    </row>
    <row r="64" spans="1:13" s="500" customFormat="1" ht="18" customHeight="1">
      <c r="A64" s="1108" t="s">
        <v>102</v>
      </c>
      <c r="B64" s="1109"/>
      <c r="C64" s="1100" t="s">
        <v>795</v>
      </c>
      <c r="D64" s="1101"/>
      <c r="E64" s="1090" t="s">
        <v>881</v>
      </c>
      <c r="F64" s="1091"/>
      <c r="G64" s="570">
        <f t="shared" si="3"/>
        <v>2550000</v>
      </c>
      <c r="H64" s="571">
        <f t="shared" si="4"/>
        <v>2550000</v>
      </c>
      <c r="I64" s="571">
        <v>0</v>
      </c>
      <c r="J64" s="571">
        <v>2550000</v>
      </c>
      <c r="K64" s="571">
        <f t="shared" si="6"/>
        <v>0</v>
      </c>
      <c r="L64" s="571">
        <v>0</v>
      </c>
      <c r="M64" s="571">
        <v>0</v>
      </c>
    </row>
    <row r="65" spans="1:13" s="536" customFormat="1" ht="5.25" customHeight="1" thickBot="1">
      <c r="A65" s="549"/>
      <c r="B65" s="550"/>
      <c r="C65" s="550"/>
      <c r="D65" s="550"/>
      <c r="E65" s="551"/>
      <c r="F65" s="552"/>
      <c r="G65" s="553"/>
      <c r="H65" s="554"/>
      <c r="I65" s="554"/>
      <c r="J65" s="554"/>
      <c r="K65" s="554"/>
      <c r="L65" s="554"/>
      <c r="M65" s="555"/>
    </row>
    <row r="66" spans="1:13" s="539" customFormat="1" ht="18" customHeight="1" thickBot="1">
      <c r="A66" s="1124" t="s">
        <v>906</v>
      </c>
      <c r="B66" s="1125"/>
      <c r="C66" s="1125"/>
      <c r="D66" s="1125"/>
      <c r="E66" s="1125"/>
      <c r="F66" s="1125"/>
      <c r="G66" s="557">
        <f>H66+K66</f>
        <v>171513102</v>
      </c>
      <c r="H66" s="557">
        <f>I66+J66</f>
        <v>126200474</v>
      </c>
      <c r="I66" s="557">
        <f>I68+I107+I112+I116</f>
        <v>95769339</v>
      </c>
      <c r="J66" s="557">
        <f>J68+J107+J112+J116</f>
        <v>30431135</v>
      </c>
      <c r="K66" s="557">
        <f>L66+M66</f>
        <v>45312628</v>
      </c>
      <c r="L66" s="557">
        <f>L68+L107+L112+L116</f>
        <v>4797711</v>
      </c>
      <c r="M66" s="557">
        <f>M68+M107+M112+M116</f>
        <v>40514917</v>
      </c>
    </row>
    <row r="67" spans="1:13" s="536" customFormat="1" ht="5.25" customHeight="1">
      <c r="A67" s="540"/>
      <c r="B67" s="541"/>
      <c r="C67" s="541"/>
      <c r="D67" s="541"/>
      <c r="E67" s="542"/>
      <c r="F67" s="542"/>
      <c r="G67" s="543"/>
      <c r="H67" s="544"/>
      <c r="I67" s="544"/>
      <c r="J67" s="544"/>
      <c r="K67" s="544"/>
      <c r="L67" s="544"/>
      <c r="M67" s="545"/>
    </row>
    <row r="68" spans="1:13" s="581" customFormat="1" ht="18" customHeight="1">
      <c r="A68" s="1117" t="s">
        <v>907</v>
      </c>
      <c r="B68" s="1118"/>
      <c r="C68" s="1118"/>
      <c r="D68" s="1118"/>
      <c r="E68" s="1118"/>
      <c r="F68" s="1119"/>
      <c r="G68" s="579">
        <f>H68+K68</f>
        <v>123330425</v>
      </c>
      <c r="H68" s="580">
        <f>I68+J68</f>
        <v>90170321</v>
      </c>
      <c r="I68" s="580">
        <f>I70+I71+I72+I73+I74+I75+I76+I77+I78+I79+I80+I81+I82+I83+I84+I85+I86+I87+I88+I89+I90+I91+I92+I93+I94+I95+I96+I97+I98+I99+I100+I101+I102+I103+I104+I105</f>
        <v>70829081</v>
      </c>
      <c r="J68" s="580">
        <f>J70+J71+J72+J73+J74+J75+J76+J77+J78+J79+J80+J81+J82+J83+J84+J85+J86+J87+J88+J89+J90+J91+J92+J93+J94+J95+J96+J97+J98+J99+J100+J101+J102+J103+J104+J105</f>
        <v>19341240</v>
      </c>
      <c r="K68" s="580">
        <f>L68+M68</f>
        <v>33160104</v>
      </c>
      <c r="L68" s="580">
        <f>L70+L71+L72+L73+L74+L75+L76+L77+L78+L79+L80+L81+L82+L83+L84+L85+L86+L87+L88+L89+L90+L91+L92+L93+L94+L95+L96+L97+L98+L99+L100+L101+L102+L103+L104+L105</f>
        <v>4797711</v>
      </c>
      <c r="M68" s="580">
        <f>M70+M71+M72+M73+M74+M75+M76+M77+M78+M79+M80+M81+M82+M83+M84+M85+M86+M87+M88+M89+M90+M91+M92+M93+M94+M95+M96+M97+M98+M99+M100+M101+M102+M103+M104+M105</f>
        <v>28362393</v>
      </c>
    </row>
    <row r="69" spans="1:13" s="566" customFormat="1" ht="5.25" customHeight="1">
      <c r="A69" s="582"/>
      <c r="B69" s="583"/>
      <c r="C69" s="562"/>
      <c r="D69" s="562"/>
      <c r="E69" s="562"/>
      <c r="F69" s="562"/>
      <c r="G69" s="563"/>
      <c r="H69" s="564"/>
      <c r="I69" s="564"/>
      <c r="J69" s="564"/>
      <c r="K69" s="564"/>
      <c r="L69" s="564"/>
      <c r="M69" s="565"/>
    </row>
    <row r="70" spans="1:13" s="500" customFormat="1" ht="18" customHeight="1">
      <c r="A70" s="1086" t="s">
        <v>165</v>
      </c>
      <c r="B70" s="1087"/>
      <c r="C70" s="1094" t="s">
        <v>246</v>
      </c>
      <c r="D70" s="1095"/>
      <c r="E70" s="584" t="s">
        <v>628</v>
      </c>
      <c r="F70" s="585" t="s">
        <v>686</v>
      </c>
      <c r="G70" s="570">
        <f aca="true" t="shared" si="7" ref="G70:G102">H70+K70</f>
        <v>690000</v>
      </c>
      <c r="H70" s="571">
        <f aca="true" t="shared" si="8" ref="H70:H102">I70+J70</f>
        <v>0</v>
      </c>
      <c r="I70" s="571">
        <v>0</v>
      </c>
      <c r="J70" s="571">
        <v>0</v>
      </c>
      <c r="K70" s="571">
        <f aca="true" t="shared" si="9" ref="K70:K102">L70+M70</f>
        <v>690000</v>
      </c>
      <c r="L70" s="571">
        <v>0</v>
      </c>
      <c r="M70" s="571">
        <v>690000</v>
      </c>
    </row>
    <row r="71" spans="1:13" s="578" customFormat="1" ht="30" customHeight="1">
      <c r="A71" s="1077"/>
      <c r="B71" s="1078"/>
      <c r="C71" s="1096"/>
      <c r="D71" s="1097"/>
      <c r="E71" s="586"/>
      <c r="F71" s="587" t="s">
        <v>908</v>
      </c>
      <c r="G71" s="588">
        <f t="shared" si="7"/>
        <v>9914358</v>
      </c>
      <c r="H71" s="589">
        <f t="shared" si="8"/>
        <v>0</v>
      </c>
      <c r="I71" s="589">
        <v>0</v>
      </c>
      <c r="J71" s="589">
        <v>0</v>
      </c>
      <c r="K71" s="589">
        <f t="shared" si="9"/>
        <v>9914358</v>
      </c>
      <c r="L71" s="589">
        <v>0</v>
      </c>
      <c r="M71" s="589">
        <v>9914358</v>
      </c>
    </row>
    <row r="72" spans="1:13" s="500" customFormat="1" ht="18" customHeight="1">
      <c r="A72" s="1110"/>
      <c r="B72" s="1111"/>
      <c r="C72" s="1112"/>
      <c r="D72" s="1113"/>
      <c r="E72" s="590" t="s">
        <v>688</v>
      </c>
      <c r="F72" s="585" t="s">
        <v>689</v>
      </c>
      <c r="G72" s="572">
        <f>H72+K72</f>
        <v>670000</v>
      </c>
      <c r="H72" s="573">
        <f>I72+J72</f>
        <v>485000</v>
      </c>
      <c r="I72" s="573">
        <v>0</v>
      </c>
      <c r="J72" s="573">
        <f>160000+325000</f>
        <v>485000</v>
      </c>
      <c r="K72" s="573">
        <f>L72+M72</f>
        <v>185000</v>
      </c>
      <c r="L72" s="573">
        <v>0</v>
      </c>
      <c r="M72" s="573">
        <v>185000</v>
      </c>
    </row>
    <row r="73" spans="1:13" s="578" customFormat="1" ht="40.5" customHeight="1">
      <c r="A73" s="1106" t="s">
        <v>80</v>
      </c>
      <c r="B73" s="1107"/>
      <c r="C73" s="1103" t="s">
        <v>256</v>
      </c>
      <c r="D73" s="1104"/>
      <c r="E73" s="591" t="s">
        <v>525</v>
      </c>
      <c r="F73" s="587" t="s">
        <v>526</v>
      </c>
      <c r="G73" s="546">
        <f t="shared" si="7"/>
        <v>289058</v>
      </c>
      <c r="H73" s="547">
        <f t="shared" si="8"/>
        <v>289058</v>
      </c>
      <c r="I73" s="547">
        <v>289058</v>
      </c>
      <c r="J73" s="547">
        <v>0</v>
      </c>
      <c r="K73" s="547">
        <f t="shared" si="9"/>
        <v>0</v>
      </c>
      <c r="L73" s="547">
        <v>0</v>
      </c>
      <c r="M73" s="547">
        <v>0</v>
      </c>
    </row>
    <row r="74" spans="1:13" s="578" customFormat="1" ht="53.25" customHeight="1">
      <c r="A74" s="1077"/>
      <c r="B74" s="1078"/>
      <c r="C74" s="1096"/>
      <c r="D74" s="1097"/>
      <c r="E74" s="592"/>
      <c r="F74" s="587" t="s">
        <v>909</v>
      </c>
      <c r="G74" s="546">
        <f>H74+K74</f>
        <v>660000</v>
      </c>
      <c r="H74" s="547">
        <f>I74+J74</f>
        <v>660000</v>
      </c>
      <c r="I74" s="547">
        <v>660000</v>
      </c>
      <c r="J74" s="547">
        <v>0</v>
      </c>
      <c r="K74" s="547">
        <f>L74+M74</f>
        <v>0</v>
      </c>
      <c r="L74" s="547">
        <v>0</v>
      </c>
      <c r="M74" s="547">
        <v>0</v>
      </c>
    </row>
    <row r="75" spans="1:13" s="578" customFormat="1" ht="53.25" customHeight="1">
      <c r="A75" s="1098"/>
      <c r="B75" s="1099"/>
      <c r="C75" s="1079"/>
      <c r="D75" s="1080"/>
      <c r="E75" s="586"/>
      <c r="F75" s="587" t="s">
        <v>910</v>
      </c>
      <c r="G75" s="546">
        <f>H75+K75</f>
        <v>106500</v>
      </c>
      <c r="H75" s="547">
        <f>I75+J75</f>
        <v>106500</v>
      </c>
      <c r="I75" s="547">
        <v>106500</v>
      </c>
      <c r="J75" s="547">
        <v>0</v>
      </c>
      <c r="K75" s="547">
        <f>L75+M75</f>
        <v>0</v>
      </c>
      <c r="L75" s="547">
        <v>0</v>
      </c>
      <c r="M75" s="547">
        <v>0</v>
      </c>
    </row>
    <row r="76" spans="1:13" s="500" customFormat="1" ht="18" customHeight="1">
      <c r="A76" s="1086" t="s">
        <v>86</v>
      </c>
      <c r="B76" s="1087"/>
      <c r="C76" s="1088" t="s">
        <v>270</v>
      </c>
      <c r="D76" s="1089"/>
      <c r="E76" s="584" t="s">
        <v>421</v>
      </c>
      <c r="F76" s="585" t="s">
        <v>510</v>
      </c>
      <c r="G76" s="572">
        <f t="shared" si="7"/>
        <v>35160423</v>
      </c>
      <c r="H76" s="573">
        <f t="shared" si="8"/>
        <v>35160423</v>
      </c>
      <c r="I76" s="573">
        <v>35160423</v>
      </c>
      <c r="J76" s="573"/>
      <c r="K76" s="573">
        <f t="shared" si="9"/>
        <v>0</v>
      </c>
      <c r="L76" s="573">
        <v>0</v>
      </c>
      <c r="M76" s="573">
        <v>0</v>
      </c>
    </row>
    <row r="77" spans="1:13" s="578" customFormat="1" ht="30" customHeight="1">
      <c r="A77" s="1077"/>
      <c r="B77" s="1078"/>
      <c r="C77" s="1096"/>
      <c r="D77" s="1097"/>
      <c r="E77" s="592"/>
      <c r="F77" s="587" t="s">
        <v>513</v>
      </c>
      <c r="G77" s="546">
        <f>H77+K77</f>
        <v>12193367</v>
      </c>
      <c r="H77" s="547">
        <f>I77+J77</f>
        <v>12193367</v>
      </c>
      <c r="I77" s="547">
        <v>12193367</v>
      </c>
      <c r="J77" s="547">
        <v>0</v>
      </c>
      <c r="K77" s="547">
        <f>L77+M77</f>
        <v>0</v>
      </c>
      <c r="L77" s="547">
        <v>0</v>
      </c>
      <c r="M77" s="547">
        <v>0</v>
      </c>
    </row>
    <row r="78" spans="1:13" s="578" customFormat="1" ht="30" customHeight="1">
      <c r="A78" s="1077"/>
      <c r="B78" s="1078"/>
      <c r="C78" s="1096"/>
      <c r="D78" s="1097"/>
      <c r="E78" s="586"/>
      <c r="F78" s="587" t="s">
        <v>514</v>
      </c>
      <c r="G78" s="546">
        <f>H78+K78</f>
        <v>4250000</v>
      </c>
      <c r="H78" s="547">
        <f>I78+J78</f>
        <v>4250000</v>
      </c>
      <c r="I78" s="547">
        <v>4250000</v>
      </c>
      <c r="J78" s="547">
        <v>0</v>
      </c>
      <c r="K78" s="547">
        <f>L78+M78</f>
        <v>0</v>
      </c>
      <c r="L78" s="547">
        <v>0</v>
      </c>
      <c r="M78" s="547">
        <v>0</v>
      </c>
    </row>
    <row r="79" spans="1:13" s="500" customFormat="1" ht="18" customHeight="1">
      <c r="A79" s="1110"/>
      <c r="B79" s="1111"/>
      <c r="C79" s="1112"/>
      <c r="D79" s="1113"/>
      <c r="E79" s="590" t="s">
        <v>427</v>
      </c>
      <c r="F79" s="585" t="s">
        <v>517</v>
      </c>
      <c r="G79" s="572">
        <f>H79+K79</f>
        <v>9958903</v>
      </c>
      <c r="H79" s="573">
        <f>I79+J79</f>
        <v>9800192</v>
      </c>
      <c r="I79" s="573">
        <f>68000+9732192</f>
        <v>9800192</v>
      </c>
      <c r="J79" s="573">
        <v>0</v>
      </c>
      <c r="K79" s="573">
        <f>L79+M79</f>
        <v>158711</v>
      </c>
      <c r="L79" s="573">
        <v>158711</v>
      </c>
      <c r="M79" s="573">
        <v>0</v>
      </c>
    </row>
    <row r="80" spans="1:13" s="578" customFormat="1" ht="40.5" customHeight="1">
      <c r="A80" s="1106" t="s">
        <v>88</v>
      </c>
      <c r="B80" s="1107"/>
      <c r="C80" s="1103" t="s">
        <v>276</v>
      </c>
      <c r="D80" s="1104"/>
      <c r="E80" s="591" t="s">
        <v>499</v>
      </c>
      <c r="F80" s="587" t="s">
        <v>501</v>
      </c>
      <c r="G80" s="546">
        <f t="shared" si="7"/>
        <v>82500</v>
      </c>
      <c r="H80" s="547">
        <f t="shared" si="8"/>
        <v>82500</v>
      </c>
      <c r="I80" s="547">
        <v>0</v>
      </c>
      <c r="J80" s="547">
        <v>82500</v>
      </c>
      <c r="K80" s="547">
        <f t="shared" si="9"/>
        <v>0</v>
      </c>
      <c r="L80" s="547">
        <v>0</v>
      </c>
      <c r="M80" s="547">
        <v>0</v>
      </c>
    </row>
    <row r="81" spans="1:13" s="500" customFormat="1" ht="18" customHeight="1">
      <c r="A81" s="1092"/>
      <c r="B81" s="1093"/>
      <c r="C81" s="1094"/>
      <c r="D81" s="1095"/>
      <c r="E81" s="593"/>
      <c r="F81" s="585" t="s">
        <v>505</v>
      </c>
      <c r="G81" s="572">
        <f t="shared" si="7"/>
        <v>2000</v>
      </c>
      <c r="H81" s="573">
        <f t="shared" si="8"/>
        <v>2000</v>
      </c>
      <c r="I81" s="573">
        <v>0</v>
      </c>
      <c r="J81" s="573">
        <v>2000</v>
      </c>
      <c r="K81" s="573">
        <f t="shared" si="9"/>
        <v>0</v>
      </c>
      <c r="L81" s="573">
        <v>0</v>
      </c>
      <c r="M81" s="573">
        <v>0</v>
      </c>
    </row>
    <row r="82" spans="1:13" s="578" customFormat="1" ht="30" customHeight="1">
      <c r="A82" s="1077"/>
      <c r="B82" s="1078"/>
      <c r="C82" s="1079"/>
      <c r="D82" s="1080"/>
      <c r="E82" s="586"/>
      <c r="F82" s="587" t="s">
        <v>508</v>
      </c>
      <c r="G82" s="546">
        <f>H82+K82</f>
        <v>3248020</v>
      </c>
      <c r="H82" s="547">
        <f>I82+J82</f>
        <v>0</v>
      </c>
      <c r="I82" s="547">
        <v>0</v>
      </c>
      <c r="J82" s="547">
        <v>0</v>
      </c>
      <c r="K82" s="547">
        <f>L82+M82</f>
        <v>3248020</v>
      </c>
      <c r="L82" s="547">
        <v>0</v>
      </c>
      <c r="M82" s="547">
        <v>3248020</v>
      </c>
    </row>
    <row r="83" spans="1:13" s="500" customFormat="1" ht="18" customHeight="1">
      <c r="A83" s="1086" t="s">
        <v>94</v>
      </c>
      <c r="B83" s="1087"/>
      <c r="C83" s="1088" t="s">
        <v>308</v>
      </c>
      <c r="D83" s="1089"/>
      <c r="E83" s="584" t="s">
        <v>679</v>
      </c>
      <c r="F83" s="585" t="s">
        <v>680</v>
      </c>
      <c r="G83" s="570">
        <f t="shared" si="7"/>
        <v>482386</v>
      </c>
      <c r="H83" s="571">
        <f t="shared" si="8"/>
        <v>475000</v>
      </c>
      <c r="I83" s="571">
        <v>0</v>
      </c>
      <c r="J83" s="571">
        <f>325000+150000</f>
        <v>475000</v>
      </c>
      <c r="K83" s="571">
        <f t="shared" si="9"/>
        <v>7386</v>
      </c>
      <c r="L83" s="571">
        <v>0</v>
      </c>
      <c r="M83" s="571">
        <v>7386</v>
      </c>
    </row>
    <row r="84" spans="1:13" s="500" customFormat="1" ht="18" customHeight="1">
      <c r="A84" s="1092"/>
      <c r="B84" s="1093"/>
      <c r="C84" s="1094"/>
      <c r="D84" s="1095"/>
      <c r="E84" s="584" t="s">
        <v>682</v>
      </c>
      <c r="F84" s="585" t="s">
        <v>683</v>
      </c>
      <c r="G84" s="570">
        <f>H84+K84</f>
        <v>495000</v>
      </c>
      <c r="H84" s="571">
        <f>I84+J84</f>
        <v>370000</v>
      </c>
      <c r="I84" s="571">
        <v>0</v>
      </c>
      <c r="J84" s="571">
        <v>370000</v>
      </c>
      <c r="K84" s="571">
        <f>L84+M84</f>
        <v>125000</v>
      </c>
      <c r="L84" s="571">
        <v>0</v>
      </c>
      <c r="M84" s="571">
        <v>125000</v>
      </c>
    </row>
    <row r="85" spans="1:13" s="500" customFormat="1" ht="18" customHeight="1">
      <c r="A85" s="1092"/>
      <c r="B85" s="1093"/>
      <c r="C85" s="1094"/>
      <c r="D85" s="1095"/>
      <c r="E85" s="584" t="s">
        <v>615</v>
      </c>
      <c r="F85" s="585" t="s">
        <v>616</v>
      </c>
      <c r="G85" s="570">
        <f t="shared" si="7"/>
        <v>941525</v>
      </c>
      <c r="H85" s="571">
        <f t="shared" si="8"/>
        <v>941525</v>
      </c>
      <c r="I85" s="571">
        <v>0</v>
      </c>
      <c r="J85" s="571">
        <v>941525</v>
      </c>
      <c r="K85" s="571">
        <f t="shared" si="9"/>
        <v>0</v>
      </c>
      <c r="L85" s="571">
        <v>0</v>
      </c>
      <c r="M85" s="571">
        <v>0</v>
      </c>
    </row>
    <row r="86" spans="1:13" s="500" customFormat="1" ht="18" customHeight="1">
      <c r="A86" s="1092"/>
      <c r="B86" s="1093"/>
      <c r="C86" s="1094"/>
      <c r="D86" s="1095"/>
      <c r="E86" s="593"/>
      <c r="F86" s="585" t="s">
        <v>684</v>
      </c>
      <c r="G86" s="570">
        <f t="shared" si="7"/>
        <v>3845000</v>
      </c>
      <c r="H86" s="571">
        <f t="shared" si="8"/>
        <v>3155000</v>
      </c>
      <c r="I86" s="571">
        <v>45000</v>
      </c>
      <c r="J86" s="571">
        <f>2725000+385000</f>
        <v>3110000</v>
      </c>
      <c r="K86" s="571">
        <f t="shared" si="9"/>
        <v>690000</v>
      </c>
      <c r="L86" s="571">
        <v>20000</v>
      </c>
      <c r="M86" s="571">
        <v>670000</v>
      </c>
    </row>
    <row r="87" spans="1:13" s="500" customFormat="1" ht="18" customHeight="1">
      <c r="A87" s="1092"/>
      <c r="B87" s="1093"/>
      <c r="C87" s="1094"/>
      <c r="D87" s="1095"/>
      <c r="E87" s="594"/>
      <c r="F87" s="585" t="s">
        <v>618</v>
      </c>
      <c r="G87" s="570">
        <f>H87+K87</f>
        <v>2883440</v>
      </c>
      <c r="H87" s="571">
        <f>I87+J87</f>
        <v>2883440</v>
      </c>
      <c r="I87" s="571">
        <v>0</v>
      </c>
      <c r="J87" s="571">
        <v>2883440</v>
      </c>
      <c r="K87" s="571">
        <f>L87+M87</f>
        <v>0</v>
      </c>
      <c r="L87" s="571">
        <v>0</v>
      </c>
      <c r="M87" s="571">
        <v>0</v>
      </c>
    </row>
    <row r="88" spans="1:13" s="500" customFormat="1" ht="18" customHeight="1">
      <c r="A88" s="1092"/>
      <c r="B88" s="1093"/>
      <c r="C88" s="1094"/>
      <c r="D88" s="1095"/>
      <c r="E88" s="584" t="s">
        <v>619</v>
      </c>
      <c r="F88" s="585" t="s">
        <v>685</v>
      </c>
      <c r="G88" s="570">
        <f t="shared" si="7"/>
        <v>630000</v>
      </c>
      <c r="H88" s="571">
        <f t="shared" si="8"/>
        <v>445000</v>
      </c>
      <c r="I88" s="571">
        <v>0</v>
      </c>
      <c r="J88" s="571">
        <f>330000+115000</f>
        <v>445000</v>
      </c>
      <c r="K88" s="571">
        <f t="shared" si="9"/>
        <v>185000</v>
      </c>
      <c r="L88" s="571">
        <v>0</v>
      </c>
      <c r="M88" s="571">
        <v>185000</v>
      </c>
    </row>
    <row r="89" spans="1:13" s="500" customFormat="1" ht="18" customHeight="1">
      <c r="A89" s="1092"/>
      <c r="B89" s="1093"/>
      <c r="C89" s="1094"/>
      <c r="D89" s="1095"/>
      <c r="E89" s="594"/>
      <c r="F89" s="585" t="s">
        <v>621</v>
      </c>
      <c r="G89" s="570">
        <f>H89+K89</f>
        <v>244833</v>
      </c>
      <c r="H89" s="571">
        <f>I89+J89</f>
        <v>244833</v>
      </c>
      <c r="I89" s="571">
        <v>0</v>
      </c>
      <c r="J89" s="571">
        <v>244833</v>
      </c>
      <c r="K89" s="571">
        <f>L89+M89</f>
        <v>0</v>
      </c>
      <c r="L89" s="571">
        <v>0</v>
      </c>
      <c r="M89" s="571">
        <v>0</v>
      </c>
    </row>
    <row r="90" spans="1:13" s="500" customFormat="1" ht="18" customHeight="1">
      <c r="A90" s="1086" t="s">
        <v>96</v>
      </c>
      <c r="B90" s="1087"/>
      <c r="C90" s="1100" t="s">
        <v>911</v>
      </c>
      <c r="D90" s="1101"/>
      <c r="E90" s="594" t="s">
        <v>666</v>
      </c>
      <c r="F90" s="585" t="s">
        <v>912</v>
      </c>
      <c r="G90" s="570">
        <f>H90+K90</f>
        <v>2677000</v>
      </c>
      <c r="H90" s="571">
        <f>I90+J90</f>
        <v>2038500</v>
      </c>
      <c r="I90" s="571">
        <v>3500</v>
      </c>
      <c r="J90" s="571">
        <v>2035000</v>
      </c>
      <c r="K90" s="571">
        <f>L90+M90</f>
        <v>638500</v>
      </c>
      <c r="L90" s="571">
        <v>8500</v>
      </c>
      <c r="M90" s="571">
        <v>630000</v>
      </c>
    </row>
    <row r="91" spans="1:13" s="500" customFormat="1" ht="18" customHeight="1">
      <c r="A91" s="1092"/>
      <c r="B91" s="1093"/>
      <c r="C91" s="1088" t="s">
        <v>913</v>
      </c>
      <c r="D91" s="1089"/>
      <c r="E91" s="594" t="s">
        <v>591</v>
      </c>
      <c r="F91" s="585" t="s">
        <v>914</v>
      </c>
      <c r="G91" s="570">
        <f>H91+K91</f>
        <v>64000</v>
      </c>
      <c r="H91" s="571">
        <f>I91+J91</f>
        <v>58000</v>
      </c>
      <c r="I91" s="571">
        <v>0</v>
      </c>
      <c r="J91" s="571">
        <f>18000+40000</f>
        <v>58000</v>
      </c>
      <c r="K91" s="571">
        <f>L91+M91</f>
        <v>6000</v>
      </c>
      <c r="L91" s="571">
        <v>0</v>
      </c>
      <c r="M91" s="571">
        <v>6000</v>
      </c>
    </row>
    <row r="92" spans="1:13" s="500" customFormat="1" ht="18" customHeight="1">
      <c r="A92" s="1092"/>
      <c r="B92" s="1093"/>
      <c r="C92" s="1112"/>
      <c r="D92" s="1113"/>
      <c r="E92" s="594" t="s">
        <v>672</v>
      </c>
      <c r="F92" s="585" t="s">
        <v>673</v>
      </c>
      <c r="G92" s="570">
        <f>H92+K92</f>
        <v>1007000</v>
      </c>
      <c r="H92" s="571">
        <f>I92+J92</f>
        <v>292000</v>
      </c>
      <c r="I92" s="571">
        <v>22000</v>
      </c>
      <c r="J92" s="571">
        <v>270000</v>
      </c>
      <c r="K92" s="571">
        <f>L92+M92</f>
        <v>715000</v>
      </c>
      <c r="L92" s="571">
        <v>65000</v>
      </c>
      <c r="M92" s="571">
        <v>650000</v>
      </c>
    </row>
    <row r="93" spans="1:13" s="500" customFormat="1" ht="18" customHeight="1">
      <c r="A93" s="1086" t="s">
        <v>60</v>
      </c>
      <c r="B93" s="1087"/>
      <c r="C93" s="1088" t="s">
        <v>915</v>
      </c>
      <c r="D93" s="1089"/>
      <c r="E93" s="584" t="s">
        <v>676</v>
      </c>
      <c r="F93" s="585" t="s">
        <v>677</v>
      </c>
      <c r="G93" s="570">
        <f t="shared" si="7"/>
        <v>2030000</v>
      </c>
      <c r="H93" s="571">
        <f t="shared" si="8"/>
        <v>0</v>
      </c>
      <c r="I93" s="571">
        <v>0</v>
      </c>
      <c r="J93" s="571">
        <v>0</v>
      </c>
      <c r="K93" s="571">
        <f t="shared" si="9"/>
        <v>2030000</v>
      </c>
      <c r="L93" s="571">
        <v>80000</v>
      </c>
      <c r="M93" s="571">
        <v>1950000</v>
      </c>
    </row>
    <row r="94" spans="1:13" s="500" customFormat="1" ht="18" customHeight="1">
      <c r="A94" s="1092"/>
      <c r="B94" s="1093"/>
      <c r="C94" s="1088" t="s">
        <v>916</v>
      </c>
      <c r="D94" s="1089"/>
      <c r="E94" s="584" t="s">
        <v>669</v>
      </c>
      <c r="F94" s="585" t="s">
        <v>670</v>
      </c>
      <c r="G94" s="570">
        <f>H94+K94</f>
        <v>242000</v>
      </c>
      <c r="H94" s="571">
        <f>I94+J94</f>
        <v>211000</v>
      </c>
      <c r="I94" s="571">
        <v>0</v>
      </c>
      <c r="J94" s="571">
        <f>195000+16000</f>
        <v>211000</v>
      </c>
      <c r="K94" s="571">
        <f>L94+M94</f>
        <v>31000</v>
      </c>
      <c r="L94" s="571">
        <v>3000</v>
      </c>
      <c r="M94" s="571">
        <v>28000</v>
      </c>
    </row>
    <row r="95" spans="1:13" s="500" customFormat="1" ht="18" customHeight="1">
      <c r="A95" s="1110"/>
      <c r="B95" s="1111"/>
      <c r="C95" s="1100" t="s">
        <v>917</v>
      </c>
      <c r="D95" s="1101"/>
      <c r="E95" s="590" t="s">
        <v>658</v>
      </c>
      <c r="F95" s="585" t="s">
        <v>660</v>
      </c>
      <c r="G95" s="572">
        <f t="shared" si="7"/>
        <v>655000</v>
      </c>
      <c r="H95" s="573">
        <f t="shared" si="8"/>
        <v>65000</v>
      </c>
      <c r="I95" s="573">
        <v>0</v>
      </c>
      <c r="J95" s="573">
        <v>65000</v>
      </c>
      <c r="K95" s="573">
        <f t="shared" si="9"/>
        <v>590000</v>
      </c>
      <c r="L95" s="573">
        <v>0</v>
      </c>
      <c r="M95" s="573">
        <v>590000</v>
      </c>
    </row>
    <row r="96" spans="1:13" s="500" customFormat="1" ht="18" customHeight="1">
      <c r="A96" s="1086"/>
      <c r="B96" s="1087"/>
      <c r="C96" s="1088"/>
      <c r="D96" s="1089"/>
      <c r="E96" s="584" t="s">
        <v>595</v>
      </c>
      <c r="F96" s="585" t="s">
        <v>600</v>
      </c>
      <c r="G96" s="570">
        <f t="shared" si="7"/>
        <v>2451901</v>
      </c>
      <c r="H96" s="571">
        <f t="shared" si="8"/>
        <v>0</v>
      </c>
      <c r="I96" s="571">
        <v>0</v>
      </c>
      <c r="J96" s="571">
        <v>0</v>
      </c>
      <c r="K96" s="571">
        <f t="shared" si="9"/>
        <v>2451901</v>
      </c>
      <c r="L96" s="571">
        <v>0</v>
      </c>
      <c r="M96" s="571">
        <v>2451901</v>
      </c>
    </row>
    <row r="97" spans="1:13" s="500" customFormat="1" ht="18" customHeight="1">
      <c r="A97" s="1092"/>
      <c r="B97" s="1093"/>
      <c r="C97" s="1094"/>
      <c r="D97" s="1095"/>
      <c r="E97" s="594"/>
      <c r="F97" s="585" t="s">
        <v>597</v>
      </c>
      <c r="G97" s="570">
        <f>H97+K97</f>
        <v>1005777</v>
      </c>
      <c r="H97" s="571">
        <f>I97+J97</f>
        <v>1005777</v>
      </c>
      <c r="I97" s="571">
        <v>0</v>
      </c>
      <c r="J97" s="571">
        <v>1005777</v>
      </c>
      <c r="K97" s="571">
        <f>L97+M97</f>
        <v>0</v>
      </c>
      <c r="L97" s="571">
        <v>0</v>
      </c>
      <c r="M97" s="571">
        <v>0</v>
      </c>
    </row>
    <row r="98" spans="1:13" s="500" customFormat="1" ht="18" customHeight="1">
      <c r="A98" s="1092"/>
      <c r="B98" s="1093"/>
      <c r="C98" s="1094"/>
      <c r="D98" s="1095"/>
      <c r="E98" s="584" t="s">
        <v>601</v>
      </c>
      <c r="F98" s="585" t="s">
        <v>674</v>
      </c>
      <c r="G98" s="570">
        <f t="shared" si="7"/>
        <v>6355000</v>
      </c>
      <c r="H98" s="571">
        <f t="shared" si="8"/>
        <v>1505000</v>
      </c>
      <c r="I98" s="571">
        <v>45000</v>
      </c>
      <c r="J98" s="571">
        <f>1175000+285000</f>
        <v>1460000</v>
      </c>
      <c r="K98" s="571">
        <f t="shared" si="9"/>
        <v>4850000</v>
      </c>
      <c r="L98" s="571">
        <v>150000</v>
      </c>
      <c r="M98" s="571">
        <v>4700000</v>
      </c>
    </row>
    <row r="99" spans="1:13" s="500" customFormat="1" ht="18" customHeight="1">
      <c r="A99" s="1110"/>
      <c r="B99" s="1111"/>
      <c r="C99" s="1112"/>
      <c r="D99" s="1113"/>
      <c r="E99" s="594"/>
      <c r="F99" s="585" t="s">
        <v>603</v>
      </c>
      <c r="G99" s="572">
        <f>H99+K99</f>
        <v>5197165</v>
      </c>
      <c r="H99" s="573">
        <f>I99+J99</f>
        <v>5197165</v>
      </c>
      <c r="I99" s="573">
        <v>0</v>
      </c>
      <c r="J99" s="573">
        <v>5197165</v>
      </c>
      <c r="K99" s="573">
        <f>L99+M99</f>
        <v>0</v>
      </c>
      <c r="L99" s="573">
        <v>0</v>
      </c>
      <c r="M99" s="573">
        <v>0</v>
      </c>
    </row>
    <row r="100" spans="1:13" s="578" customFormat="1" ht="30" customHeight="1">
      <c r="A100" s="1106" t="s">
        <v>99</v>
      </c>
      <c r="B100" s="1107"/>
      <c r="C100" s="1103" t="s">
        <v>918</v>
      </c>
      <c r="D100" s="1104"/>
      <c r="E100" s="591" t="s">
        <v>652</v>
      </c>
      <c r="F100" s="587" t="s">
        <v>653</v>
      </c>
      <c r="G100" s="588">
        <f t="shared" si="7"/>
        <v>1800000</v>
      </c>
      <c r="H100" s="589">
        <f t="shared" si="8"/>
        <v>0</v>
      </c>
      <c r="I100" s="589">
        <v>0</v>
      </c>
      <c r="J100" s="589">
        <v>0</v>
      </c>
      <c r="K100" s="589">
        <f t="shared" si="9"/>
        <v>1800000</v>
      </c>
      <c r="L100" s="589">
        <v>0</v>
      </c>
      <c r="M100" s="589">
        <v>1800000</v>
      </c>
    </row>
    <row r="101" spans="1:13" s="500" customFormat="1" ht="18" customHeight="1">
      <c r="A101" s="1092"/>
      <c r="B101" s="1093"/>
      <c r="C101" s="1094"/>
      <c r="D101" s="1095"/>
      <c r="E101" s="584" t="s">
        <v>655</v>
      </c>
      <c r="F101" s="585" t="s">
        <v>919</v>
      </c>
      <c r="G101" s="570">
        <f>H101+K101</f>
        <v>81728</v>
      </c>
      <c r="H101" s="571">
        <f>I101+J101</f>
        <v>0</v>
      </c>
      <c r="I101" s="571">
        <v>0</v>
      </c>
      <c r="J101" s="571">
        <v>0</v>
      </c>
      <c r="K101" s="571">
        <f>L101+M101</f>
        <v>81728</v>
      </c>
      <c r="L101" s="571">
        <v>0</v>
      </c>
      <c r="M101" s="571">
        <v>81728</v>
      </c>
    </row>
    <row r="102" spans="1:13" s="500" customFormat="1" ht="18" customHeight="1">
      <c r="A102" s="1092"/>
      <c r="B102" s="1093"/>
      <c r="C102" s="1094"/>
      <c r="D102" s="1095"/>
      <c r="E102" s="584" t="s">
        <v>661</v>
      </c>
      <c r="F102" s="585" t="s">
        <v>663</v>
      </c>
      <c r="G102" s="570">
        <f t="shared" si="7"/>
        <v>450000</v>
      </c>
      <c r="H102" s="571">
        <f t="shared" si="8"/>
        <v>0</v>
      </c>
      <c r="I102" s="571">
        <v>0</v>
      </c>
      <c r="J102" s="571">
        <v>0</v>
      </c>
      <c r="K102" s="571">
        <f t="shared" si="9"/>
        <v>450000</v>
      </c>
      <c r="L102" s="571">
        <v>0</v>
      </c>
      <c r="M102" s="571">
        <v>450000</v>
      </c>
    </row>
    <row r="103" spans="1:13" s="578" customFormat="1" ht="30" customHeight="1">
      <c r="A103" s="1106" t="s">
        <v>100</v>
      </c>
      <c r="B103" s="1107"/>
      <c r="C103" s="1114" t="s">
        <v>920</v>
      </c>
      <c r="D103" s="1115"/>
      <c r="E103" s="595" t="s">
        <v>437</v>
      </c>
      <c r="F103" s="587" t="s">
        <v>536</v>
      </c>
      <c r="G103" s="546">
        <f>H103+K103</f>
        <v>3941541</v>
      </c>
      <c r="H103" s="547">
        <f>I103+J103</f>
        <v>3941541</v>
      </c>
      <c r="I103" s="547">
        <v>3941541</v>
      </c>
      <c r="J103" s="547">
        <v>0</v>
      </c>
      <c r="K103" s="547">
        <f>L103+M103</f>
        <v>0</v>
      </c>
      <c r="L103" s="547">
        <v>0</v>
      </c>
      <c r="M103" s="547">
        <v>0</v>
      </c>
    </row>
    <row r="104" spans="1:13" s="500" customFormat="1" ht="18" customHeight="1">
      <c r="A104" s="1092"/>
      <c r="B104" s="1093"/>
      <c r="C104" s="1088" t="s">
        <v>921</v>
      </c>
      <c r="D104" s="1089"/>
      <c r="E104" s="590" t="s">
        <v>644</v>
      </c>
      <c r="F104" s="585" t="s">
        <v>646</v>
      </c>
      <c r="G104" s="572">
        <f>H104+K104</f>
        <v>4312500</v>
      </c>
      <c r="H104" s="573">
        <f>I104+J104</f>
        <v>2156250</v>
      </c>
      <c r="I104" s="573">
        <v>2156250</v>
      </c>
      <c r="J104" s="573">
        <v>0</v>
      </c>
      <c r="K104" s="573">
        <f>L104+M104</f>
        <v>2156250</v>
      </c>
      <c r="L104" s="573">
        <v>2156250</v>
      </c>
      <c r="M104" s="573">
        <v>0</v>
      </c>
    </row>
    <row r="105" spans="1:13" s="578" customFormat="1" ht="30" customHeight="1">
      <c r="A105" s="1098"/>
      <c r="B105" s="1099"/>
      <c r="C105" s="1079"/>
      <c r="D105" s="1080"/>
      <c r="E105" s="595" t="s">
        <v>650</v>
      </c>
      <c r="F105" s="587" t="s">
        <v>651</v>
      </c>
      <c r="G105" s="546">
        <f>H105+K105</f>
        <v>4312500</v>
      </c>
      <c r="H105" s="547">
        <f>I105+J105</f>
        <v>2156250</v>
      </c>
      <c r="I105" s="547">
        <v>2156250</v>
      </c>
      <c r="J105" s="547">
        <v>0</v>
      </c>
      <c r="K105" s="547">
        <f>L105+M105</f>
        <v>2156250</v>
      </c>
      <c r="L105" s="547">
        <v>2156250</v>
      </c>
      <c r="M105" s="547">
        <v>0</v>
      </c>
    </row>
    <row r="106" spans="1:13" s="566" customFormat="1" ht="5.25" customHeight="1">
      <c r="A106" s="561"/>
      <c r="B106" s="562"/>
      <c r="C106" s="562"/>
      <c r="D106" s="562"/>
      <c r="E106" s="562"/>
      <c r="F106" s="562"/>
      <c r="G106" s="563"/>
      <c r="H106" s="564"/>
      <c r="I106" s="564"/>
      <c r="J106" s="564"/>
      <c r="K106" s="564"/>
      <c r="L106" s="564"/>
      <c r="M106" s="565"/>
    </row>
    <row r="107" spans="1:13" s="581" customFormat="1" ht="18" customHeight="1">
      <c r="A107" s="1117" t="s">
        <v>922</v>
      </c>
      <c r="B107" s="1118"/>
      <c r="C107" s="1118"/>
      <c r="D107" s="1118"/>
      <c r="E107" s="1118"/>
      <c r="F107" s="1119"/>
      <c r="G107" s="579">
        <f>H107+K107</f>
        <v>5617704</v>
      </c>
      <c r="H107" s="580">
        <f>I107+J107</f>
        <v>3741704</v>
      </c>
      <c r="I107" s="580">
        <f>I109+I110</f>
        <v>0</v>
      </c>
      <c r="J107" s="580">
        <f>J109+J110</f>
        <v>3741704</v>
      </c>
      <c r="K107" s="580">
        <f>L107+M107</f>
        <v>1876000</v>
      </c>
      <c r="L107" s="580">
        <f>L109+L110</f>
        <v>0</v>
      </c>
      <c r="M107" s="580">
        <f>M109+M110</f>
        <v>1876000</v>
      </c>
    </row>
    <row r="108" spans="1:13" s="566" customFormat="1" ht="5.25" customHeight="1">
      <c r="A108" s="582"/>
      <c r="B108" s="562"/>
      <c r="C108" s="562"/>
      <c r="D108" s="562"/>
      <c r="E108" s="562"/>
      <c r="F108" s="562"/>
      <c r="G108" s="563"/>
      <c r="H108" s="564"/>
      <c r="I108" s="564"/>
      <c r="J108" s="564"/>
      <c r="K108" s="564"/>
      <c r="L108" s="564"/>
      <c r="M108" s="565"/>
    </row>
    <row r="109" spans="1:13" s="500" customFormat="1" ht="18" customHeight="1">
      <c r="A109" s="1086" t="s">
        <v>60</v>
      </c>
      <c r="B109" s="1087"/>
      <c r="C109" s="1088" t="s">
        <v>917</v>
      </c>
      <c r="D109" s="1089"/>
      <c r="E109" s="590" t="s">
        <v>923</v>
      </c>
      <c r="F109" s="569" t="s">
        <v>712</v>
      </c>
      <c r="G109" s="570">
        <f>H109+K109</f>
        <v>3741704</v>
      </c>
      <c r="H109" s="571">
        <f>I109+J109</f>
        <v>3741704</v>
      </c>
      <c r="I109" s="571">
        <v>0</v>
      </c>
      <c r="J109" s="571">
        <f>2054418+1687286</f>
        <v>3741704</v>
      </c>
      <c r="K109" s="571">
        <f>L109+M109</f>
        <v>0</v>
      </c>
      <c r="L109" s="571">
        <v>0</v>
      </c>
      <c r="M109" s="571">
        <v>0</v>
      </c>
    </row>
    <row r="110" spans="1:13" s="500" customFormat="1" ht="18" customHeight="1">
      <c r="A110" s="1086" t="s">
        <v>99</v>
      </c>
      <c r="B110" s="1087"/>
      <c r="C110" s="1088" t="s">
        <v>784</v>
      </c>
      <c r="D110" s="1089"/>
      <c r="E110" s="590" t="s">
        <v>924</v>
      </c>
      <c r="F110" s="569" t="s">
        <v>925</v>
      </c>
      <c r="G110" s="570">
        <f>H110+K110</f>
        <v>1876000</v>
      </c>
      <c r="H110" s="571">
        <f>I110+J110</f>
        <v>0</v>
      </c>
      <c r="I110" s="571">
        <v>0</v>
      </c>
      <c r="J110" s="571">
        <v>0</v>
      </c>
      <c r="K110" s="571">
        <f>L110+M110</f>
        <v>1876000</v>
      </c>
      <c r="L110" s="571">
        <v>0</v>
      </c>
      <c r="M110" s="571">
        <v>1876000</v>
      </c>
    </row>
    <row r="111" spans="1:13" s="566" customFormat="1" ht="5.25" customHeight="1">
      <c r="A111" s="561"/>
      <c r="B111" s="562"/>
      <c r="C111" s="562"/>
      <c r="D111" s="562"/>
      <c r="E111" s="562"/>
      <c r="F111" s="562"/>
      <c r="G111" s="563"/>
      <c r="H111" s="564"/>
      <c r="I111" s="564"/>
      <c r="J111" s="564"/>
      <c r="K111" s="564"/>
      <c r="L111" s="564"/>
      <c r="M111" s="565"/>
    </row>
    <row r="112" spans="1:13" s="581" customFormat="1" ht="18" customHeight="1">
      <c r="A112" s="1117" t="s">
        <v>926</v>
      </c>
      <c r="B112" s="1118"/>
      <c r="C112" s="1118"/>
      <c r="D112" s="1118"/>
      <c r="E112" s="1118"/>
      <c r="F112" s="1119"/>
      <c r="G112" s="579">
        <f>H112+K112</f>
        <v>580000</v>
      </c>
      <c r="H112" s="580">
        <f>I112+J112</f>
        <v>100000</v>
      </c>
      <c r="I112" s="580">
        <f>I114</f>
        <v>0</v>
      </c>
      <c r="J112" s="580">
        <f>J114</f>
        <v>100000</v>
      </c>
      <c r="K112" s="580">
        <f>L112+M112</f>
        <v>480000</v>
      </c>
      <c r="L112" s="580">
        <f>L114</f>
        <v>0</v>
      </c>
      <c r="M112" s="580">
        <f>M114</f>
        <v>480000</v>
      </c>
    </row>
    <row r="113" spans="1:13" s="566" customFormat="1" ht="5.25" customHeight="1">
      <c r="A113" s="582"/>
      <c r="B113" s="562"/>
      <c r="C113" s="562"/>
      <c r="D113" s="562"/>
      <c r="E113" s="562"/>
      <c r="F113" s="562"/>
      <c r="G113" s="563"/>
      <c r="H113" s="564"/>
      <c r="I113" s="564"/>
      <c r="J113" s="564"/>
      <c r="K113" s="564"/>
      <c r="L113" s="564"/>
      <c r="M113" s="565"/>
    </row>
    <row r="114" spans="1:13" s="578" customFormat="1" ht="40.5" customHeight="1">
      <c r="A114" s="1106" t="s">
        <v>77</v>
      </c>
      <c r="B114" s="1107"/>
      <c r="C114" s="1103" t="s">
        <v>129</v>
      </c>
      <c r="D114" s="1104"/>
      <c r="E114" s="1081" t="s">
        <v>927</v>
      </c>
      <c r="F114" s="1120"/>
      <c r="G114" s="588">
        <f>H114+K114</f>
        <v>580000</v>
      </c>
      <c r="H114" s="589">
        <f>I114+J114</f>
        <v>100000</v>
      </c>
      <c r="I114" s="589">
        <v>0</v>
      </c>
      <c r="J114" s="589">
        <v>100000</v>
      </c>
      <c r="K114" s="589">
        <f>L114+M114</f>
        <v>480000</v>
      </c>
      <c r="L114" s="589">
        <v>0</v>
      </c>
      <c r="M114" s="589">
        <v>480000</v>
      </c>
    </row>
    <row r="115" spans="1:13" s="566" customFormat="1" ht="5.25" customHeight="1">
      <c r="A115" s="561"/>
      <c r="B115" s="562"/>
      <c r="C115" s="562"/>
      <c r="D115" s="562"/>
      <c r="E115" s="562"/>
      <c r="F115" s="562"/>
      <c r="G115" s="563"/>
      <c r="H115" s="564"/>
      <c r="I115" s="564"/>
      <c r="J115" s="564"/>
      <c r="K115" s="564"/>
      <c r="L115" s="564"/>
      <c r="M115" s="565"/>
    </row>
    <row r="116" spans="1:13" s="581" customFormat="1" ht="18" customHeight="1">
      <c r="A116" s="1121" t="s">
        <v>928</v>
      </c>
      <c r="B116" s="1122"/>
      <c r="C116" s="1122"/>
      <c r="D116" s="1122"/>
      <c r="E116" s="1122"/>
      <c r="F116" s="1123"/>
      <c r="G116" s="559">
        <f>H116+K116</f>
        <v>41984973</v>
      </c>
      <c r="H116" s="559">
        <f>I116+J116</f>
        <v>32188449</v>
      </c>
      <c r="I116" s="559">
        <f>I118+I119+I120+I121+I122+I123+I124+I125+I126+I127+I128+I129+I130+I131+I132+I133+I134+I135+I136+I137+I138+I139+I140+I141+I142+I143+I144+I145+I146+I147+I148+I149+I150+I151+I152+I153+I154+I155+I156+I157+I158+I159+I160+I161+I162+I163+I164+I165+I166+I167+I168+I169+I170+I171+I172+I173+I174+I175+I176+I177+I178+I179+I180+I181</f>
        <v>24940258</v>
      </c>
      <c r="J116" s="559">
        <f>J118+J119+J120+J121+J122+J123+J124+J125+J126+J127+J128+J129+J130+J131+J132+J133+J134+J135+J136+J137+J138+J139+J140+J141+J142+J143+J144+J145+J146+J147+J148+J149+J150+J151+J152+J153+J154+J155+J156+J157+J158+J159+J160+J161+J162+J163+J164+J165+J166+J167+J168+J169+J170+J171+J172+J173+J174+J175+J176+J177+J178+J179+J180+J181</f>
        <v>7248191</v>
      </c>
      <c r="K116" s="559">
        <f>L116+M116</f>
        <v>9796524</v>
      </c>
      <c r="L116" s="559">
        <f>L118+L119+L120+L121+L122+L123+L124+L125+L126+L127+L128+L129+L130+L131+L132+L133+L134+L135+L136+L137+L138+L139+L140+L141+L142+L143+L144+L145+L146+L147+L148+L149+L150+L151+L152+L153+L154+L155+L156+L157+L158+L159+L160+L161+L162+L163+L164+L165+L166+L167+L168+L169+L170+L171+L172+L173+L174+L175+L176+L177+L178+L179+L180+L181</f>
        <v>0</v>
      </c>
      <c r="M116" s="559">
        <f>M118+M119+M120+M121+M122+M123+M124+M125+M126+M127+M128+M129+M130+M131+M132+M133+M134+M135+M136+M137+M138+M139+M140+M141+M142+M143+M144+M145+M146+M147+M148+M149+M150+M151+M152+M153+M154+M155+M156+M157+M158+M159+M160+M161+M162+M163+M164+M165+M166+M167+M168+M169+M170+M171+M172+M173+M174+M175+M176+M177+M178+M179+M180+M181</f>
        <v>9796524</v>
      </c>
    </row>
    <row r="117" spans="1:13" s="566" customFormat="1" ht="5.25" customHeight="1">
      <c r="A117" s="561"/>
      <c r="B117" s="562"/>
      <c r="C117" s="562"/>
      <c r="D117" s="562"/>
      <c r="E117" s="562"/>
      <c r="F117" s="562"/>
      <c r="G117" s="563"/>
      <c r="H117" s="564"/>
      <c r="I117" s="564"/>
      <c r="J117" s="564"/>
      <c r="K117" s="564"/>
      <c r="L117" s="564"/>
      <c r="M117" s="565"/>
    </row>
    <row r="118" spans="1:13" s="578" customFormat="1" ht="30" customHeight="1">
      <c r="A118" s="1106" t="s">
        <v>77</v>
      </c>
      <c r="B118" s="1107"/>
      <c r="C118" s="1103" t="s">
        <v>239</v>
      </c>
      <c r="D118" s="1104"/>
      <c r="E118" s="1081" t="s">
        <v>929</v>
      </c>
      <c r="F118" s="1082"/>
      <c r="G118" s="588">
        <f aca="true" t="shared" si="10" ref="G118:G180">H118+K118</f>
        <v>1100000</v>
      </c>
      <c r="H118" s="589">
        <f aca="true" t="shared" si="11" ref="H118:H180">I118+J118</f>
        <v>0</v>
      </c>
      <c r="I118" s="589">
        <v>0</v>
      </c>
      <c r="J118" s="589">
        <v>0</v>
      </c>
      <c r="K118" s="589">
        <f aca="true" t="shared" si="12" ref="K118:K180">L118+M118</f>
        <v>1100000</v>
      </c>
      <c r="L118" s="589">
        <v>0</v>
      </c>
      <c r="M118" s="589">
        <v>1100000</v>
      </c>
    </row>
    <row r="119" spans="1:13" s="578" customFormat="1" ht="29.25" customHeight="1">
      <c r="A119" s="1077"/>
      <c r="B119" s="1078"/>
      <c r="C119" s="1103" t="s">
        <v>241</v>
      </c>
      <c r="D119" s="1104"/>
      <c r="E119" s="1081" t="s">
        <v>930</v>
      </c>
      <c r="F119" s="1082"/>
      <c r="G119" s="588">
        <f>H119+K119</f>
        <v>22045</v>
      </c>
      <c r="H119" s="589">
        <f>I119+J119</f>
        <v>22045</v>
      </c>
      <c r="I119" s="589">
        <v>22045</v>
      </c>
      <c r="J119" s="589">
        <v>0</v>
      </c>
      <c r="K119" s="589">
        <f>L119+M119</f>
        <v>0</v>
      </c>
      <c r="L119" s="589">
        <v>0</v>
      </c>
      <c r="M119" s="589">
        <v>0</v>
      </c>
    </row>
    <row r="120" spans="1:13" s="500" customFormat="1" ht="18" customHeight="1">
      <c r="A120" s="1092"/>
      <c r="B120" s="1093"/>
      <c r="C120" s="1088" t="s">
        <v>140</v>
      </c>
      <c r="D120" s="1089"/>
      <c r="E120" s="1090" t="s">
        <v>931</v>
      </c>
      <c r="F120" s="1091"/>
      <c r="G120" s="570">
        <f t="shared" si="10"/>
        <v>6000000</v>
      </c>
      <c r="H120" s="571">
        <f t="shared" si="11"/>
        <v>6000000</v>
      </c>
      <c r="I120" s="571">
        <v>6000000</v>
      </c>
      <c r="J120" s="571">
        <v>0</v>
      </c>
      <c r="K120" s="571">
        <f t="shared" si="12"/>
        <v>0</v>
      </c>
      <c r="L120" s="571">
        <v>0</v>
      </c>
      <c r="M120" s="571">
        <v>0</v>
      </c>
    </row>
    <row r="121" spans="1:13" s="500" customFormat="1" ht="18" customHeight="1">
      <c r="A121" s="1110"/>
      <c r="B121" s="1111"/>
      <c r="C121" s="1100" t="s">
        <v>142</v>
      </c>
      <c r="D121" s="1101"/>
      <c r="E121" s="1090" t="s">
        <v>932</v>
      </c>
      <c r="F121" s="1091"/>
      <c r="G121" s="572">
        <f t="shared" si="10"/>
        <v>80000</v>
      </c>
      <c r="H121" s="573">
        <f t="shared" si="11"/>
        <v>80000</v>
      </c>
      <c r="I121" s="573">
        <v>0</v>
      </c>
      <c r="J121" s="573">
        <v>80000</v>
      </c>
      <c r="K121" s="573">
        <f t="shared" si="12"/>
        <v>0</v>
      </c>
      <c r="L121" s="573">
        <v>0</v>
      </c>
      <c r="M121" s="573">
        <v>0</v>
      </c>
    </row>
    <row r="122" spans="1:13" s="578" customFormat="1" ht="40.5" customHeight="1">
      <c r="A122" s="1106" t="s">
        <v>165</v>
      </c>
      <c r="B122" s="1107"/>
      <c r="C122" s="1114" t="s">
        <v>244</v>
      </c>
      <c r="D122" s="1115"/>
      <c r="E122" s="1081" t="s">
        <v>933</v>
      </c>
      <c r="F122" s="1082"/>
      <c r="G122" s="546">
        <f>H122+K122</f>
        <v>2403767</v>
      </c>
      <c r="H122" s="547">
        <f>I122+J122</f>
        <v>2403767</v>
      </c>
      <c r="I122" s="547">
        <v>0</v>
      </c>
      <c r="J122" s="547">
        <v>2403767</v>
      </c>
      <c r="K122" s="547">
        <f>L122+M122</f>
        <v>0</v>
      </c>
      <c r="L122" s="547">
        <v>0</v>
      </c>
      <c r="M122" s="547">
        <v>0</v>
      </c>
    </row>
    <row r="123" spans="1:13" s="500" customFormat="1" ht="18" customHeight="1">
      <c r="A123" s="1108" t="s">
        <v>80</v>
      </c>
      <c r="B123" s="1109"/>
      <c r="C123" s="1100" t="s">
        <v>253</v>
      </c>
      <c r="D123" s="1101"/>
      <c r="E123" s="1090" t="s">
        <v>934</v>
      </c>
      <c r="F123" s="1091"/>
      <c r="G123" s="572">
        <f t="shared" si="10"/>
        <v>1300000</v>
      </c>
      <c r="H123" s="573">
        <f t="shared" si="11"/>
        <v>1300000</v>
      </c>
      <c r="I123" s="573">
        <v>0</v>
      </c>
      <c r="J123" s="573">
        <v>1300000</v>
      </c>
      <c r="K123" s="573">
        <f t="shared" si="12"/>
        <v>0</v>
      </c>
      <c r="L123" s="573">
        <v>0</v>
      </c>
      <c r="M123" s="573">
        <v>0</v>
      </c>
    </row>
    <row r="124" spans="1:13" s="578" customFormat="1" ht="53.25" customHeight="1">
      <c r="A124" s="1106"/>
      <c r="B124" s="1107"/>
      <c r="C124" s="1103" t="s">
        <v>257</v>
      </c>
      <c r="D124" s="1104"/>
      <c r="E124" s="1081" t="s">
        <v>935</v>
      </c>
      <c r="F124" s="1082"/>
      <c r="G124" s="546">
        <f>H124+K124</f>
        <v>4800000</v>
      </c>
      <c r="H124" s="547">
        <f>I124+J124</f>
        <v>4800000</v>
      </c>
      <c r="I124" s="547">
        <v>4800000</v>
      </c>
      <c r="J124" s="547">
        <v>0</v>
      </c>
      <c r="K124" s="547">
        <f>L124+M124</f>
        <v>0</v>
      </c>
      <c r="L124" s="547">
        <v>0</v>
      </c>
      <c r="M124" s="547">
        <v>0</v>
      </c>
    </row>
    <row r="125" spans="1:13" s="578" customFormat="1" ht="40.5" customHeight="1">
      <c r="A125" s="1077"/>
      <c r="B125" s="1078"/>
      <c r="C125" s="1079"/>
      <c r="D125" s="1080"/>
      <c r="E125" s="1081" t="s">
        <v>936</v>
      </c>
      <c r="F125" s="1082"/>
      <c r="G125" s="546">
        <f>H125+K125</f>
        <v>150000</v>
      </c>
      <c r="H125" s="547">
        <f>I125+J125</f>
        <v>150000</v>
      </c>
      <c r="I125" s="547">
        <v>150000</v>
      </c>
      <c r="J125" s="547">
        <v>0</v>
      </c>
      <c r="K125" s="547">
        <f>L125+M125</f>
        <v>0</v>
      </c>
      <c r="L125" s="547">
        <v>0</v>
      </c>
      <c r="M125" s="547">
        <v>0</v>
      </c>
    </row>
    <row r="126" spans="1:13" s="578" customFormat="1" ht="30" customHeight="1">
      <c r="A126" s="1098"/>
      <c r="B126" s="1099"/>
      <c r="C126" s="1103" t="s">
        <v>261</v>
      </c>
      <c r="D126" s="1104"/>
      <c r="E126" s="1081" t="s">
        <v>937</v>
      </c>
      <c r="F126" s="1082"/>
      <c r="G126" s="546">
        <f t="shared" si="10"/>
        <v>50000</v>
      </c>
      <c r="H126" s="547">
        <f t="shared" si="11"/>
        <v>50000</v>
      </c>
      <c r="I126" s="547">
        <v>0</v>
      </c>
      <c r="J126" s="547">
        <v>50000</v>
      </c>
      <c r="K126" s="547">
        <f t="shared" si="12"/>
        <v>0</v>
      </c>
      <c r="L126" s="547">
        <v>0</v>
      </c>
      <c r="M126" s="547">
        <v>0</v>
      </c>
    </row>
    <row r="127" spans="1:13" s="500" customFormat="1" ht="18" customHeight="1">
      <c r="A127" s="1086" t="s">
        <v>172</v>
      </c>
      <c r="B127" s="1087"/>
      <c r="C127" s="1088" t="s">
        <v>262</v>
      </c>
      <c r="D127" s="1089"/>
      <c r="E127" s="1090" t="s">
        <v>938</v>
      </c>
      <c r="F127" s="1091"/>
      <c r="G127" s="570">
        <f t="shared" si="10"/>
        <v>150000</v>
      </c>
      <c r="H127" s="571">
        <f t="shared" si="11"/>
        <v>0</v>
      </c>
      <c r="I127" s="571">
        <v>0</v>
      </c>
      <c r="J127" s="571">
        <v>0</v>
      </c>
      <c r="K127" s="571">
        <f t="shared" si="12"/>
        <v>150000</v>
      </c>
      <c r="L127" s="571">
        <v>0</v>
      </c>
      <c r="M127" s="571">
        <v>150000</v>
      </c>
    </row>
    <row r="128" spans="1:13" s="500" customFormat="1" ht="18" customHeight="1">
      <c r="A128" s="1110"/>
      <c r="B128" s="1111"/>
      <c r="C128" s="1100" t="s">
        <v>263</v>
      </c>
      <c r="D128" s="1101"/>
      <c r="E128" s="1090" t="s">
        <v>939</v>
      </c>
      <c r="F128" s="1091"/>
      <c r="G128" s="572">
        <f>H128+K128</f>
        <v>122400</v>
      </c>
      <c r="H128" s="573">
        <f>I128+J128</f>
        <v>0</v>
      </c>
      <c r="I128" s="573">
        <v>0</v>
      </c>
      <c r="J128" s="573">
        <v>0</v>
      </c>
      <c r="K128" s="573">
        <f>L128+M128</f>
        <v>122400</v>
      </c>
      <c r="L128" s="573">
        <v>0</v>
      </c>
      <c r="M128" s="573">
        <v>122400</v>
      </c>
    </row>
    <row r="129" spans="1:13" s="500" customFormat="1" ht="18" customHeight="1">
      <c r="A129" s="1108" t="s">
        <v>86</v>
      </c>
      <c r="B129" s="1109"/>
      <c r="C129" s="1100" t="s">
        <v>270</v>
      </c>
      <c r="D129" s="1101"/>
      <c r="E129" s="1090" t="s">
        <v>824</v>
      </c>
      <c r="F129" s="1091"/>
      <c r="G129" s="572">
        <f>H129+K129</f>
        <v>779472</v>
      </c>
      <c r="H129" s="573">
        <f>I129+J129</f>
        <v>779472</v>
      </c>
      <c r="I129" s="573">
        <v>779472</v>
      </c>
      <c r="J129" s="573">
        <v>0</v>
      </c>
      <c r="K129" s="573">
        <f>L129+M129</f>
        <v>0</v>
      </c>
      <c r="L129" s="573">
        <v>0</v>
      </c>
      <c r="M129" s="573">
        <v>0</v>
      </c>
    </row>
    <row r="130" spans="1:13" s="500" customFormat="1" ht="18" customHeight="1">
      <c r="A130" s="1108" t="s">
        <v>88</v>
      </c>
      <c r="B130" s="1109"/>
      <c r="C130" s="1100" t="s">
        <v>278</v>
      </c>
      <c r="D130" s="1101"/>
      <c r="E130" s="1090" t="s">
        <v>940</v>
      </c>
      <c r="F130" s="1091"/>
      <c r="G130" s="570">
        <f t="shared" si="10"/>
        <v>135000</v>
      </c>
      <c r="H130" s="571">
        <f t="shared" si="11"/>
        <v>0</v>
      </c>
      <c r="I130" s="571">
        <v>0</v>
      </c>
      <c r="J130" s="571">
        <v>0</v>
      </c>
      <c r="K130" s="571">
        <f t="shared" si="12"/>
        <v>135000</v>
      </c>
      <c r="L130" s="571">
        <v>0</v>
      </c>
      <c r="M130" s="571">
        <v>135000</v>
      </c>
    </row>
    <row r="131" spans="1:13" s="578" customFormat="1" ht="30" customHeight="1">
      <c r="A131" s="1077" t="s">
        <v>309</v>
      </c>
      <c r="B131" s="1078"/>
      <c r="C131" s="1079" t="s">
        <v>828</v>
      </c>
      <c r="D131" s="1080"/>
      <c r="E131" s="1081" t="s">
        <v>941</v>
      </c>
      <c r="F131" s="1082"/>
      <c r="G131" s="546">
        <f>H131+K131</f>
        <v>2100000</v>
      </c>
      <c r="H131" s="547">
        <f>I131+J131</f>
        <v>2100000</v>
      </c>
      <c r="I131" s="547">
        <v>2100000</v>
      </c>
      <c r="J131" s="547">
        <v>0</v>
      </c>
      <c r="K131" s="547">
        <f>L131+M131</f>
        <v>0</v>
      </c>
      <c r="L131" s="547">
        <v>0</v>
      </c>
      <c r="M131" s="547">
        <v>0</v>
      </c>
    </row>
    <row r="132" spans="1:13" s="578" customFormat="1" ht="53.25" customHeight="1">
      <c r="A132" s="1106" t="s">
        <v>96</v>
      </c>
      <c r="B132" s="1107"/>
      <c r="C132" s="1103" t="s">
        <v>831</v>
      </c>
      <c r="D132" s="1104"/>
      <c r="E132" s="1081" t="s">
        <v>942</v>
      </c>
      <c r="F132" s="1082"/>
      <c r="G132" s="588">
        <f t="shared" si="10"/>
        <v>221779</v>
      </c>
      <c r="H132" s="589">
        <f t="shared" si="11"/>
        <v>221779</v>
      </c>
      <c r="I132" s="589">
        <v>221779</v>
      </c>
      <c r="J132" s="589">
        <v>0</v>
      </c>
      <c r="K132" s="589">
        <f t="shared" si="12"/>
        <v>0</v>
      </c>
      <c r="L132" s="589">
        <v>0</v>
      </c>
      <c r="M132" s="589">
        <v>0</v>
      </c>
    </row>
    <row r="133" spans="1:13" s="578" customFormat="1" ht="53.25" customHeight="1">
      <c r="A133" s="1077"/>
      <c r="B133" s="1078"/>
      <c r="C133" s="1079"/>
      <c r="D133" s="1080"/>
      <c r="E133" s="1081" t="s">
        <v>943</v>
      </c>
      <c r="F133" s="1082"/>
      <c r="G133" s="588">
        <f t="shared" si="10"/>
        <v>242784</v>
      </c>
      <c r="H133" s="589">
        <f t="shared" si="11"/>
        <v>242784</v>
      </c>
      <c r="I133" s="589">
        <v>242784</v>
      </c>
      <c r="J133" s="589">
        <v>0</v>
      </c>
      <c r="K133" s="589">
        <f t="shared" si="12"/>
        <v>0</v>
      </c>
      <c r="L133" s="589">
        <v>0</v>
      </c>
      <c r="M133" s="589">
        <v>0</v>
      </c>
    </row>
    <row r="134" spans="1:13" s="578" customFormat="1" ht="40.5" customHeight="1">
      <c r="A134" s="1077"/>
      <c r="B134" s="1078"/>
      <c r="C134" s="1103" t="s">
        <v>837</v>
      </c>
      <c r="D134" s="1104"/>
      <c r="E134" s="1081" t="s">
        <v>944</v>
      </c>
      <c r="F134" s="1082"/>
      <c r="G134" s="588">
        <f t="shared" si="10"/>
        <v>286128</v>
      </c>
      <c r="H134" s="589">
        <f t="shared" si="11"/>
        <v>286128</v>
      </c>
      <c r="I134" s="589">
        <v>286128</v>
      </c>
      <c r="J134" s="589">
        <v>0</v>
      </c>
      <c r="K134" s="589">
        <f t="shared" si="12"/>
        <v>0</v>
      </c>
      <c r="L134" s="589">
        <v>0</v>
      </c>
      <c r="M134" s="589">
        <v>0</v>
      </c>
    </row>
    <row r="135" spans="1:13" s="500" customFormat="1" ht="18" customHeight="1">
      <c r="A135" s="1092"/>
      <c r="B135" s="1093"/>
      <c r="C135" s="1088" t="s">
        <v>911</v>
      </c>
      <c r="D135" s="1089"/>
      <c r="E135" s="1090" t="s">
        <v>945</v>
      </c>
      <c r="F135" s="1091"/>
      <c r="G135" s="570">
        <f t="shared" si="10"/>
        <v>100000</v>
      </c>
      <c r="H135" s="571">
        <f t="shared" si="11"/>
        <v>0</v>
      </c>
      <c r="I135" s="571">
        <v>0</v>
      </c>
      <c r="J135" s="571">
        <v>0</v>
      </c>
      <c r="K135" s="571">
        <f t="shared" si="12"/>
        <v>100000</v>
      </c>
      <c r="L135" s="571">
        <v>0</v>
      </c>
      <c r="M135" s="571">
        <v>100000</v>
      </c>
    </row>
    <row r="136" spans="1:13" s="500" customFormat="1" ht="18" customHeight="1">
      <c r="A136" s="1092"/>
      <c r="B136" s="1093"/>
      <c r="C136" s="1112"/>
      <c r="D136" s="1113"/>
      <c r="E136" s="1090" t="s">
        <v>946</v>
      </c>
      <c r="F136" s="1091"/>
      <c r="G136" s="570">
        <f>H136+K136</f>
        <v>875000</v>
      </c>
      <c r="H136" s="571">
        <f>I136+J136</f>
        <v>380000</v>
      </c>
      <c r="I136" s="571">
        <v>0</v>
      </c>
      <c r="J136" s="571">
        <v>380000</v>
      </c>
      <c r="K136" s="571">
        <f>L136+M136</f>
        <v>495000</v>
      </c>
      <c r="L136" s="571">
        <v>0</v>
      </c>
      <c r="M136" s="571">
        <v>495000</v>
      </c>
    </row>
    <row r="137" spans="1:13" s="500" customFormat="1" ht="18" customHeight="1">
      <c r="A137" s="1092"/>
      <c r="B137" s="1093"/>
      <c r="C137" s="1100" t="s">
        <v>947</v>
      </c>
      <c r="D137" s="1101"/>
      <c r="E137" s="1090" t="s">
        <v>948</v>
      </c>
      <c r="F137" s="1091"/>
      <c r="G137" s="570">
        <f t="shared" si="10"/>
        <v>350000</v>
      </c>
      <c r="H137" s="571">
        <f t="shared" si="11"/>
        <v>0</v>
      </c>
      <c r="I137" s="571">
        <v>0</v>
      </c>
      <c r="J137" s="571">
        <v>0</v>
      </c>
      <c r="K137" s="571">
        <f t="shared" si="12"/>
        <v>350000</v>
      </c>
      <c r="L137" s="571">
        <v>0</v>
      </c>
      <c r="M137" s="571">
        <v>350000</v>
      </c>
    </row>
    <row r="138" spans="1:13" s="500" customFormat="1" ht="18" customHeight="1">
      <c r="A138" s="1092"/>
      <c r="B138" s="1093"/>
      <c r="C138" s="1088" t="s">
        <v>841</v>
      </c>
      <c r="D138" s="1089"/>
      <c r="E138" s="1090" t="s">
        <v>949</v>
      </c>
      <c r="F138" s="1091"/>
      <c r="G138" s="570">
        <f t="shared" si="10"/>
        <v>30000</v>
      </c>
      <c r="H138" s="571">
        <f t="shared" si="11"/>
        <v>30000</v>
      </c>
      <c r="I138" s="571">
        <v>0</v>
      </c>
      <c r="J138" s="571">
        <v>30000</v>
      </c>
      <c r="K138" s="571">
        <f t="shared" si="12"/>
        <v>0</v>
      </c>
      <c r="L138" s="571">
        <v>0</v>
      </c>
      <c r="M138" s="571">
        <v>0</v>
      </c>
    </row>
    <row r="139" spans="1:13" s="578" customFormat="1" ht="30" customHeight="1">
      <c r="A139" s="1077"/>
      <c r="B139" s="1078"/>
      <c r="C139" s="1096"/>
      <c r="D139" s="1097"/>
      <c r="E139" s="1081" t="s">
        <v>950</v>
      </c>
      <c r="F139" s="1082"/>
      <c r="G139" s="546">
        <f t="shared" si="10"/>
        <v>70000</v>
      </c>
      <c r="H139" s="547">
        <f t="shared" si="11"/>
        <v>0</v>
      </c>
      <c r="I139" s="547">
        <v>0</v>
      </c>
      <c r="J139" s="547">
        <v>0</v>
      </c>
      <c r="K139" s="547">
        <f t="shared" si="12"/>
        <v>70000</v>
      </c>
      <c r="L139" s="547">
        <v>0</v>
      </c>
      <c r="M139" s="547">
        <v>70000</v>
      </c>
    </row>
    <row r="140" spans="1:13" s="578" customFormat="1" ht="30" customHeight="1">
      <c r="A140" s="1077"/>
      <c r="B140" s="1078"/>
      <c r="C140" s="1096"/>
      <c r="D140" s="1097"/>
      <c r="E140" s="1081" t="s">
        <v>951</v>
      </c>
      <c r="F140" s="1082"/>
      <c r="G140" s="546">
        <f t="shared" si="10"/>
        <v>260000</v>
      </c>
      <c r="H140" s="547">
        <f t="shared" si="11"/>
        <v>0</v>
      </c>
      <c r="I140" s="547">
        <v>0</v>
      </c>
      <c r="J140" s="547">
        <v>0</v>
      </c>
      <c r="K140" s="547">
        <f t="shared" si="12"/>
        <v>260000</v>
      </c>
      <c r="L140" s="547">
        <v>0</v>
      </c>
      <c r="M140" s="547">
        <v>260000</v>
      </c>
    </row>
    <row r="141" spans="1:13" s="578" customFormat="1" ht="40.5" customHeight="1">
      <c r="A141" s="1098"/>
      <c r="B141" s="1099"/>
      <c r="C141" s="1079"/>
      <c r="D141" s="1080"/>
      <c r="E141" s="1105" t="s">
        <v>952</v>
      </c>
      <c r="F141" s="1116"/>
      <c r="G141" s="546">
        <f>H141+K141</f>
        <v>1900000</v>
      </c>
      <c r="H141" s="547">
        <f>I141+J141</f>
        <v>1900000</v>
      </c>
      <c r="I141" s="547">
        <v>1900000</v>
      </c>
      <c r="J141" s="547">
        <v>0</v>
      </c>
      <c r="K141" s="547">
        <f>L141+M141</f>
        <v>0</v>
      </c>
      <c r="L141" s="547">
        <v>0</v>
      </c>
      <c r="M141" s="547">
        <v>0</v>
      </c>
    </row>
    <row r="142" spans="1:13" s="500" customFormat="1" ht="18" customHeight="1">
      <c r="A142" s="1108" t="s">
        <v>60</v>
      </c>
      <c r="B142" s="1109"/>
      <c r="C142" s="1100" t="s">
        <v>953</v>
      </c>
      <c r="D142" s="1101"/>
      <c r="E142" s="1090" t="s">
        <v>954</v>
      </c>
      <c r="F142" s="1091"/>
      <c r="G142" s="572">
        <f t="shared" si="10"/>
        <v>40000</v>
      </c>
      <c r="H142" s="573">
        <f t="shared" si="11"/>
        <v>0</v>
      </c>
      <c r="I142" s="573">
        <v>0</v>
      </c>
      <c r="J142" s="573"/>
      <c r="K142" s="573">
        <f t="shared" si="12"/>
        <v>40000</v>
      </c>
      <c r="L142" s="573">
        <v>0</v>
      </c>
      <c r="M142" s="573">
        <v>40000</v>
      </c>
    </row>
    <row r="143" spans="1:13" s="578" customFormat="1" ht="27.75" customHeight="1">
      <c r="A143" s="1106"/>
      <c r="B143" s="1107"/>
      <c r="C143" s="1114"/>
      <c r="D143" s="1115"/>
      <c r="E143" s="1081" t="s">
        <v>955</v>
      </c>
      <c r="F143" s="1082"/>
      <c r="G143" s="588">
        <f t="shared" si="10"/>
        <v>30000</v>
      </c>
      <c r="H143" s="589">
        <f t="shared" si="11"/>
        <v>30000</v>
      </c>
      <c r="I143" s="589">
        <v>0</v>
      </c>
      <c r="J143" s="589">
        <v>30000</v>
      </c>
      <c r="K143" s="589">
        <f t="shared" si="12"/>
        <v>0</v>
      </c>
      <c r="L143" s="589">
        <v>0</v>
      </c>
      <c r="M143" s="589">
        <v>0</v>
      </c>
    </row>
    <row r="144" spans="1:13" s="578" customFormat="1" ht="27" customHeight="1">
      <c r="A144" s="1077"/>
      <c r="B144" s="1078"/>
      <c r="C144" s="1103" t="s">
        <v>917</v>
      </c>
      <c r="D144" s="1104"/>
      <c r="E144" s="1081" t="s">
        <v>956</v>
      </c>
      <c r="F144" s="1082"/>
      <c r="G144" s="588">
        <f t="shared" si="10"/>
        <v>320000</v>
      </c>
      <c r="H144" s="589">
        <f t="shared" si="11"/>
        <v>0</v>
      </c>
      <c r="I144" s="589">
        <v>0</v>
      </c>
      <c r="J144" s="589">
        <v>0</v>
      </c>
      <c r="K144" s="589">
        <f t="shared" si="12"/>
        <v>320000</v>
      </c>
      <c r="L144" s="589">
        <v>0</v>
      </c>
      <c r="M144" s="589">
        <v>320000</v>
      </c>
    </row>
    <row r="145" spans="1:13" s="578" customFormat="1" ht="27.75" customHeight="1">
      <c r="A145" s="1077"/>
      <c r="B145" s="1078"/>
      <c r="C145" s="1096"/>
      <c r="D145" s="1097"/>
      <c r="E145" s="1081" t="s">
        <v>957</v>
      </c>
      <c r="F145" s="1082"/>
      <c r="G145" s="546">
        <f t="shared" si="10"/>
        <v>230000</v>
      </c>
      <c r="H145" s="547">
        <f t="shared" si="11"/>
        <v>0</v>
      </c>
      <c r="I145" s="547">
        <v>0</v>
      </c>
      <c r="J145" s="547">
        <v>0</v>
      </c>
      <c r="K145" s="547">
        <f t="shared" si="12"/>
        <v>230000</v>
      </c>
      <c r="L145" s="547">
        <v>0</v>
      </c>
      <c r="M145" s="547">
        <v>230000</v>
      </c>
    </row>
    <row r="146" spans="1:13" s="500" customFormat="1" ht="18" customHeight="1">
      <c r="A146" s="1092"/>
      <c r="B146" s="1093"/>
      <c r="C146" s="1094"/>
      <c r="D146" s="1095"/>
      <c r="E146" s="1090" t="s">
        <v>958</v>
      </c>
      <c r="F146" s="1091"/>
      <c r="G146" s="572">
        <f t="shared" si="10"/>
        <v>100000</v>
      </c>
      <c r="H146" s="573">
        <f t="shared" si="11"/>
        <v>0</v>
      </c>
      <c r="I146" s="573">
        <v>0</v>
      </c>
      <c r="J146" s="573">
        <v>0</v>
      </c>
      <c r="K146" s="573">
        <f t="shared" si="12"/>
        <v>100000</v>
      </c>
      <c r="L146" s="573">
        <v>0</v>
      </c>
      <c r="M146" s="573">
        <v>100000</v>
      </c>
    </row>
    <row r="147" spans="1:13" s="500" customFormat="1" ht="18" customHeight="1">
      <c r="A147" s="1110"/>
      <c r="B147" s="1111"/>
      <c r="C147" s="1112"/>
      <c r="D147" s="1113"/>
      <c r="E147" s="1090" t="s">
        <v>959</v>
      </c>
      <c r="F147" s="1091"/>
      <c r="G147" s="572">
        <f t="shared" si="10"/>
        <v>150000</v>
      </c>
      <c r="H147" s="573">
        <f t="shared" si="11"/>
        <v>0</v>
      </c>
      <c r="I147" s="573">
        <v>0</v>
      </c>
      <c r="J147" s="573">
        <v>0</v>
      </c>
      <c r="K147" s="573">
        <f t="shared" si="12"/>
        <v>150000</v>
      </c>
      <c r="L147" s="573">
        <v>0</v>
      </c>
      <c r="M147" s="573">
        <v>150000</v>
      </c>
    </row>
    <row r="148" spans="1:13" s="500" customFormat="1" ht="18" customHeight="1">
      <c r="A148" s="1086" t="s">
        <v>99</v>
      </c>
      <c r="B148" s="1087"/>
      <c r="C148" s="1088" t="s">
        <v>960</v>
      </c>
      <c r="D148" s="1089"/>
      <c r="E148" s="1090" t="s">
        <v>961</v>
      </c>
      <c r="F148" s="1091"/>
      <c r="G148" s="570">
        <f t="shared" si="10"/>
        <v>444000</v>
      </c>
      <c r="H148" s="571">
        <f t="shared" si="11"/>
        <v>375556</v>
      </c>
      <c r="I148" s="571">
        <v>0</v>
      </c>
      <c r="J148" s="571">
        <v>375556</v>
      </c>
      <c r="K148" s="571">
        <f t="shared" si="12"/>
        <v>68444</v>
      </c>
      <c r="L148" s="571">
        <v>0</v>
      </c>
      <c r="M148" s="571">
        <v>68444</v>
      </c>
    </row>
    <row r="149" spans="1:13" s="500" customFormat="1" ht="18" customHeight="1">
      <c r="A149" s="1092"/>
      <c r="B149" s="1093"/>
      <c r="C149" s="1088" t="s">
        <v>918</v>
      </c>
      <c r="D149" s="1089"/>
      <c r="E149" s="1090" t="s">
        <v>962</v>
      </c>
      <c r="F149" s="1091"/>
      <c r="G149" s="572">
        <f t="shared" si="10"/>
        <v>250000</v>
      </c>
      <c r="H149" s="573">
        <f t="shared" si="11"/>
        <v>0</v>
      </c>
      <c r="I149" s="573">
        <v>0</v>
      </c>
      <c r="J149" s="573">
        <v>0</v>
      </c>
      <c r="K149" s="573">
        <f t="shared" si="12"/>
        <v>250000</v>
      </c>
      <c r="L149" s="573">
        <v>0</v>
      </c>
      <c r="M149" s="573">
        <v>250000</v>
      </c>
    </row>
    <row r="150" spans="1:13" s="578" customFormat="1" ht="27.75" customHeight="1">
      <c r="A150" s="1077"/>
      <c r="B150" s="1078"/>
      <c r="C150" s="1096"/>
      <c r="D150" s="1097"/>
      <c r="E150" s="1081" t="s">
        <v>963</v>
      </c>
      <c r="F150" s="1082"/>
      <c r="G150" s="588">
        <f t="shared" si="10"/>
        <v>100000</v>
      </c>
      <c r="H150" s="589">
        <f t="shared" si="11"/>
        <v>0</v>
      </c>
      <c r="I150" s="589">
        <v>0</v>
      </c>
      <c r="J150" s="589">
        <v>0</v>
      </c>
      <c r="K150" s="589">
        <f t="shared" si="12"/>
        <v>100000</v>
      </c>
      <c r="L150" s="589">
        <v>0</v>
      </c>
      <c r="M150" s="589">
        <v>100000</v>
      </c>
    </row>
    <row r="151" spans="1:13" s="500" customFormat="1" ht="18" customHeight="1">
      <c r="A151" s="1086" t="s">
        <v>61</v>
      </c>
      <c r="B151" s="1087"/>
      <c r="C151" s="1088" t="s">
        <v>964</v>
      </c>
      <c r="D151" s="1089"/>
      <c r="E151" s="1090" t="s">
        <v>965</v>
      </c>
      <c r="F151" s="1091"/>
      <c r="G151" s="570">
        <f t="shared" si="10"/>
        <v>219000</v>
      </c>
      <c r="H151" s="571">
        <f t="shared" si="11"/>
        <v>219000</v>
      </c>
      <c r="I151" s="571">
        <v>0</v>
      </c>
      <c r="J151" s="571">
        <v>219000</v>
      </c>
      <c r="K151" s="571">
        <f t="shared" si="12"/>
        <v>0</v>
      </c>
      <c r="L151" s="571">
        <v>0</v>
      </c>
      <c r="M151" s="571">
        <v>0</v>
      </c>
    </row>
    <row r="152" spans="1:13" s="500" customFormat="1" ht="18" customHeight="1">
      <c r="A152" s="1110"/>
      <c r="B152" s="1111"/>
      <c r="C152" s="1088" t="s">
        <v>966</v>
      </c>
      <c r="D152" s="1089"/>
      <c r="E152" s="1090" t="s">
        <v>967</v>
      </c>
      <c r="F152" s="1091"/>
      <c r="G152" s="570">
        <f>H152+K152</f>
        <v>100000</v>
      </c>
      <c r="H152" s="571">
        <f>I152+J152</f>
        <v>0</v>
      </c>
      <c r="I152" s="571">
        <v>0</v>
      </c>
      <c r="J152" s="571">
        <v>0</v>
      </c>
      <c r="K152" s="571">
        <f>L152+M152</f>
        <v>100000</v>
      </c>
      <c r="L152" s="571">
        <v>0</v>
      </c>
      <c r="M152" s="571">
        <v>100000</v>
      </c>
    </row>
    <row r="153" spans="1:13" s="500" customFormat="1" ht="18" customHeight="1">
      <c r="A153" s="1108" t="s">
        <v>163</v>
      </c>
      <c r="B153" s="1109"/>
      <c r="C153" s="1100" t="s">
        <v>968</v>
      </c>
      <c r="D153" s="1101"/>
      <c r="E153" s="1090" t="s">
        <v>969</v>
      </c>
      <c r="F153" s="1091"/>
      <c r="G153" s="572">
        <f t="shared" si="10"/>
        <v>139430</v>
      </c>
      <c r="H153" s="573">
        <f t="shared" si="11"/>
        <v>0</v>
      </c>
      <c r="I153" s="573">
        <v>0</v>
      </c>
      <c r="J153" s="573">
        <v>0</v>
      </c>
      <c r="K153" s="573">
        <f t="shared" si="12"/>
        <v>139430</v>
      </c>
      <c r="L153" s="573">
        <v>0</v>
      </c>
      <c r="M153" s="573">
        <v>139430</v>
      </c>
    </row>
    <row r="154" spans="1:13" s="578" customFormat="1" ht="30" customHeight="1">
      <c r="A154" s="1077" t="s">
        <v>100</v>
      </c>
      <c r="B154" s="1078"/>
      <c r="C154" s="1103" t="s">
        <v>845</v>
      </c>
      <c r="D154" s="1104"/>
      <c r="E154" s="1081" t="s">
        <v>930</v>
      </c>
      <c r="F154" s="1082"/>
      <c r="G154" s="588">
        <f t="shared" si="10"/>
        <v>10000</v>
      </c>
      <c r="H154" s="589">
        <f t="shared" si="11"/>
        <v>10000</v>
      </c>
      <c r="I154" s="589">
        <v>10000</v>
      </c>
      <c r="J154" s="589">
        <v>0</v>
      </c>
      <c r="K154" s="589">
        <f t="shared" si="12"/>
        <v>0</v>
      </c>
      <c r="L154" s="589">
        <v>0</v>
      </c>
      <c r="M154" s="589">
        <v>0</v>
      </c>
    </row>
    <row r="155" spans="1:13" s="578" customFormat="1" ht="27.75" customHeight="1">
      <c r="A155" s="1077"/>
      <c r="B155" s="1078"/>
      <c r="C155" s="1103" t="s">
        <v>921</v>
      </c>
      <c r="D155" s="1104"/>
      <c r="E155" s="1081" t="s">
        <v>970</v>
      </c>
      <c r="F155" s="1082"/>
      <c r="G155" s="588">
        <f>H155+K155</f>
        <v>65000</v>
      </c>
      <c r="H155" s="589">
        <f>I155+J155</f>
        <v>48750</v>
      </c>
      <c r="I155" s="589">
        <v>0</v>
      </c>
      <c r="J155" s="589">
        <v>48750</v>
      </c>
      <c r="K155" s="589">
        <f>L155+M155</f>
        <v>16250</v>
      </c>
      <c r="L155" s="589">
        <v>0</v>
      </c>
      <c r="M155" s="589">
        <v>16250</v>
      </c>
    </row>
    <row r="156" spans="1:13" s="578" customFormat="1" ht="39.75" customHeight="1">
      <c r="A156" s="1106" t="s">
        <v>102</v>
      </c>
      <c r="B156" s="1107"/>
      <c r="C156" s="1103" t="s">
        <v>971</v>
      </c>
      <c r="D156" s="1104"/>
      <c r="E156" s="1081" t="s">
        <v>972</v>
      </c>
      <c r="F156" s="1082"/>
      <c r="G156" s="546">
        <f>H156+K156</f>
        <v>1000000</v>
      </c>
      <c r="H156" s="547">
        <f>I156+J156</f>
        <v>1000000</v>
      </c>
      <c r="I156" s="547">
        <v>1000000</v>
      </c>
      <c r="J156" s="547">
        <v>0</v>
      </c>
      <c r="K156" s="547">
        <f>L156+M156</f>
        <v>0</v>
      </c>
      <c r="L156" s="547">
        <v>0</v>
      </c>
      <c r="M156" s="547">
        <v>0</v>
      </c>
    </row>
    <row r="157" spans="1:13" s="578" customFormat="1" ht="39.75" customHeight="1">
      <c r="A157" s="1077"/>
      <c r="B157" s="1078"/>
      <c r="C157" s="1103" t="s">
        <v>789</v>
      </c>
      <c r="D157" s="1104"/>
      <c r="E157" s="1081" t="s">
        <v>972</v>
      </c>
      <c r="F157" s="1082"/>
      <c r="G157" s="546">
        <f t="shared" si="10"/>
        <v>1000000</v>
      </c>
      <c r="H157" s="547">
        <f t="shared" si="11"/>
        <v>1000000</v>
      </c>
      <c r="I157" s="547">
        <v>1000000</v>
      </c>
      <c r="J157" s="547">
        <v>0</v>
      </c>
      <c r="K157" s="547">
        <f t="shared" si="12"/>
        <v>0</v>
      </c>
      <c r="L157" s="547">
        <v>0</v>
      </c>
      <c r="M157" s="547">
        <v>0</v>
      </c>
    </row>
    <row r="158" spans="1:13" s="578" customFormat="1" ht="39" customHeight="1">
      <c r="A158" s="1077"/>
      <c r="B158" s="1078"/>
      <c r="C158" s="1096"/>
      <c r="D158" s="1097"/>
      <c r="E158" s="1081" t="s">
        <v>973</v>
      </c>
      <c r="F158" s="1082"/>
      <c r="G158" s="546">
        <f>H158+K158</f>
        <v>140000</v>
      </c>
      <c r="H158" s="547">
        <f>I158+J158</f>
        <v>140000</v>
      </c>
      <c r="I158" s="547">
        <v>140000</v>
      </c>
      <c r="J158" s="547">
        <v>0</v>
      </c>
      <c r="K158" s="547">
        <f>L158+M158</f>
        <v>0</v>
      </c>
      <c r="L158" s="547">
        <v>0</v>
      </c>
      <c r="M158" s="547">
        <v>0</v>
      </c>
    </row>
    <row r="159" spans="1:13" s="578" customFormat="1" ht="28.5" customHeight="1">
      <c r="A159" s="1077"/>
      <c r="B159" s="1078"/>
      <c r="C159" s="1096"/>
      <c r="D159" s="1097"/>
      <c r="E159" s="1105" t="s">
        <v>974</v>
      </c>
      <c r="F159" s="1082"/>
      <c r="G159" s="546">
        <f t="shared" si="10"/>
        <v>28515</v>
      </c>
      <c r="H159" s="547">
        <f t="shared" si="11"/>
        <v>28515</v>
      </c>
      <c r="I159" s="547">
        <v>28515</v>
      </c>
      <c r="J159" s="547">
        <v>0</v>
      </c>
      <c r="K159" s="547">
        <f t="shared" si="12"/>
        <v>0</v>
      </c>
      <c r="L159" s="547">
        <v>0</v>
      </c>
      <c r="M159" s="547">
        <v>0</v>
      </c>
    </row>
    <row r="160" spans="1:13" s="578" customFormat="1" ht="53.25" customHeight="1">
      <c r="A160" s="1077"/>
      <c r="B160" s="1078"/>
      <c r="C160" s="1079"/>
      <c r="D160" s="1080"/>
      <c r="E160" s="1105" t="s">
        <v>975</v>
      </c>
      <c r="F160" s="1082"/>
      <c r="G160" s="546">
        <f>H160+K160</f>
        <v>116783</v>
      </c>
      <c r="H160" s="547">
        <f>I160+J160</f>
        <v>116783</v>
      </c>
      <c r="I160" s="547">
        <v>116783</v>
      </c>
      <c r="J160" s="547">
        <v>0</v>
      </c>
      <c r="K160" s="547">
        <f>L160+M160</f>
        <v>0</v>
      </c>
      <c r="L160" s="547">
        <v>0</v>
      </c>
      <c r="M160" s="547">
        <v>0</v>
      </c>
    </row>
    <row r="161" spans="1:13" s="578" customFormat="1" ht="40.5" customHeight="1">
      <c r="A161" s="1077"/>
      <c r="B161" s="1078"/>
      <c r="C161" s="1096" t="s">
        <v>854</v>
      </c>
      <c r="D161" s="1097"/>
      <c r="E161" s="1081" t="s">
        <v>976</v>
      </c>
      <c r="F161" s="1082"/>
      <c r="G161" s="546">
        <f t="shared" si="10"/>
        <v>2350770</v>
      </c>
      <c r="H161" s="547">
        <f t="shared" si="11"/>
        <v>2350770</v>
      </c>
      <c r="I161" s="547">
        <v>2232752</v>
      </c>
      <c r="J161" s="547">
        <v>118018</v>
      </c>
      <c r="K161" s="547">
        <f t="shared" si="12"/>
        <v>0</v>
      </c>
      <c r="L161" s="547">
        <v>0</v>
      </c>
      <c r="M161" s="547">
        <v>0</v>
      </c>
    </row>
    <row r="162" spans="1:13" s="578" customFormat="1" ht="40.5" customHeight="1">
      <c r="A162" s="1098"/>
      <c r="B162" s="1099"/>
      <c r="C162" s="1079"/>
      <c r="D162" s="1080"/>
      <c r="E162" s="1081" t="s">
        <v>977</v>
      </c>
      <c r="F162" s="1082"/>
      <c r="G162" s="546">
        <f>H162+K162</f>
        <v>1650000</v>
      </c>
      <c r="H162" s="547">
        <f>I162+J162</f>
        <v>1650000</v>
      </c>
      <c r="I162" s="547">
        <v>1650000</v>
      </c>
      <c r="J162" s="547">
        <v>0</v>
      </c>
      <c r="K162" s="547">
        <f>L162+M162</f>
        <v>0</v>
      </c>
      <c r="L162" s="547">
        <v>0</v>
      </c>
      <c r="M162" s="547">
        <v>0</v>
      </c>
    </row>
    <row r="163" spans="1:13" s="578" customFormat="1" ht="30" customHeight="1">
      <c r="A163" s="1106"/>
      <c r="B163" s="1107"/>
      <c r="C163" s="1103" t="s">
        <v>792</v>
      </c>
      <c r="D163" s="1104"/>
      <c r="E163" s="1081" t="s">
        <v>978</v>
      </c>
      <c r="F163" s="1082"/>
      <c r="G163" s="546">
        <f>H163+K163</f>
        <v>60000</v>
      </c>
      <c r="H163" s="547">
        <f>I163+J163</f>
        <v>60000</v>
      </c>
      <c r="I163" s="547">
        <v>60000</v>
      </c>
      <c r="J163" s="547">
        <v>0</v>
      </c>
      <c r="K163" s="547">
        <f>L163+M163</f>
        <v>0</v>
      </c>
      <c r="L163" s="547">
        <v>0</v>
      </c>
      <c r="M163" s="547">
        <v>0</v>
      </c>
    </row>
    <row r="164" spans="1:13" s="578" customFormat="1" ht="30" customHeight="1">
      <c r="A164" s="1077"/>
      <c r="B164" s="1078"/>
      <c r="C164" s="1096"/>
      <c r="D164" s="1097"/>
      <c r="E164" s="1081" t="s">
        <v>979</v>
      </c>
      <c r="F164" s="1082"/>
      <c r="G164" s="546">
        <f>H164+K164</f>
        <v>15000</v>
      </c>
      <c r="H164" s="547">
        <f>I164+J164</f>
        <v>15000</v>
      </c>
      <c r="I164" s="547">
        <v>0</v>
      </c>
      <c r="J164" s="547">
        <v>15000</v>
      </c>
      <c r="K164" s="547">
        <f>L164+M164</f>
        <v>0</v>
      </c>
      <c r="L164" s="547">
        <v>0</v>
      </c>
      <c r="M164" s="547">
        <v>0</v>
      </c>
    </row>
    <row r="165" spans="1:13" s="578" customFormat="1" ht="30" customHeight="1">
      <c r="A165" s="1077"/>
      <c r="B165" s="1078"/>
      <c r="C165" s="1096"/>
      <c r="D165" s="1097"/>
      <c r="E165" s="1081" t="s">
        <v>980</v>
      </c>
      <c r="F165" s="1082"/>
      <c r="G165" s="546">
        <f>H165+K165</f>
        <v>48000</v>
      </c>
      <c r="H165" s="547">
        <f>I165+J165</f>
        <v>48000</v>
      </c>
      <c r="I165" s="547">
        <v>0</v>
      </c>
      <c r="J165" s="547">
        <v>48000</v>
      </c>
      <c r="K165" s="547">
        <f>L165+M165</f>
        <v>0</v>
      </c>
      <c r="L165" s="547">
        <v>0</v>
      </c>
      <c r="M165" s="547">
        <v>0</v>
      </c>
    </row>
    <row r="166" spans="1:13" s="578" customFormat="1" ht="30" customHeight="1">
      <c r="A166" s="1077"/>
      <c r="B166" s="1078"/>
      <c r="C166" s="1103" t="s">
        <v>897</v>
      </c>
      <c r="D166" s="1104"/>
      <c r="E166" s="1081" t="s">
        <v>981</v>
      </c>
      <c r="F166" s="1082"/>
      <c r="G166" s="546">
        <f>H166+K166</f>
        <v>5100</v>
      </c>
      <c r="H166" s="547">
        <f>I166+J166</f>
        <v>5100</v>
      </c>
      <c r="I166" s="547">
        <v>0</v>
      </c>
      <c r="J166" s="547">
        <v>5100</v>
      </c>
      <c r="K166" s="547">
        <f>L166+M166</f>
        <v>0</v>
      </c>
      <c r="L166" s="547">
        <v>0</v>
      </c>
      <c r="M166" s="547">
        <v>0</v>
      </c>
    </row>
    <row r="167" spans="1:13" s="500" customFormat="1" ht="18" customHeight="1">
      <c r="A167" s="1092"/>
      <c r="B167" s="1093"/>
      <c r="C167" s="1094"/>
      <c r="D167" s="1095"/>
      <c r="E167" s="1102" t="s">
        <v>982</v>
      </c>
      <c r="F167" s="1091"/>
      <c r="G167" s="572">
        <f t="shared" si="10"/>
        <v>74000</v>
      </c>
      <c r="H167" s="573">
        <f t="shared" si="11"/>
        <v>74000</v>
      </c>
      <c r="I167" s="573">
        <v>0</v>
      </c>
      <c r="J167" s="573">
        <v>74000</v>
      </c>
      <c r="K167" s="573">
        <f t="shared" si="12"/>
        <v>0</v>
      </c>
      <c r="L167" s="573">
        <v>0</v>
      </c>
      <c r="M167" s="573">
        <v>0</v>
      </c>
    </row>
    <row r="168" spans="1:13" s="578" customFormat="1" ht="40.5" customHeight="1">
      <c r="A168" s="1077"/>
      <c r="B168" s="1078"/>
      <c r="C168" s="1079"/>
      <c r="D168" s="1080"/>
      <c r="E168" s="1105" t="s">
        <v>983</v>
      </c>
      <c r="F168" s="1082"/>
      <c r="G168" s="546">
        <f t="shared" si="10"/>
        <v>100000</v>
      </c>
      <c r="H168" s="547">
        <f t="shared" si="11"/>
        <v>100000</v>
      </c>
      <c r="I168" s="547">
        <v>100000</v>
      </c>
      <c r="J168" s="547">
        <v>0</v>
      </c>
      <c r="K168" s="547">
        <f t="shared" si="12"/>
        <v>0</v>
      </c>
      <c r="L168" s="547">
        <v>0</v>
      </c>
      <c r="M168" s="547">
        <v>0</v>
      </c>
    </row>
    <row r="169" spans="1:13" s="500" customFormat="1" ht="18" customHeight="1">
      <c r="A169" s="1092"/>
      <c r="B169" s="1093"/>
      <c r="C169" s="1100" t="s">
        <v>984</v>
      </c>
      <c r="D169" s="1101"/>
      <c r="E169" s="1102" t="s">
        <v>985</v>
      </c>
      <c r="F169" s="1091"/>
      <c r="G169" s="572">
        <f t="shared" si="10"/>
        <v>925000</v>
      </c>
      <c r="H169" s="573">
        <f t="shared" si="11"/>
        <v>175000</v>
      </c>
      <c r="I169" s="573">
        <v>0</v>
      </c>
      <c r="J169" s="573">
        <v>175000</v>
      </c>
      <c r="K169" s="573">
        <f t="shared" si="12"/>
        <v>750000</v>
      </c>
      <c r="L169" s="573">
        <v>0</v>
      </c>
      <c r="M169" s="573">
        <v>750000</v>
      </c>
    </row>
    <row r="170" spans="1:13" s="578" customFormat="1" ht="30" customHeight="1">
      <c r="A170" s="1077"/>
      <c r="B170" s="1078"/>
      <c r="C170" s="1103" t="s">
        <v>798</v>
      </c>
      <c r="D170" s="1104"/>
      <c r="E170" s="1081" t="s">
        <v>986</v>
      </c>
      <c r="F170" s="1082"/>
      <c r="G170" s="546">
        <f t="shared" si="10"/>
        <v>1050000</v>
      </c>
      <c r="H170" s="547">
        <f t="shared" si="11"/>
        <v>0</v>
      </c>
      <c r="I170" s="547">
        <v>0</v>
      </c>
      <c r="J170" s="547">
        <v>0</v>
      </c>
      <c r="K170" s="547">
        <f t="shared" si="12"/>
        <v>1050000</v>
      </c>
      <c r="L170" s="547">
        <v>0</v>
      </c>
      <c r="M170" s="547">
        <v>1050000</v>
      </c>
    </row>
    <row r="171" spans="1:13" s="500" customFormat="1" ht="18" customHeight="1">
      <c r="A171" s="1092"/>
      <c r="B171" s="1093"/>
      <c r="C171" s="1094"/>
      <c r="D171" s="1095"/>
      <c r="E171" s="1090" t="s">
        <v>987</v>
      </c>
      <c r="F171" s="1091"/>
      <c r="G171" s="572">
        <f t="shared" si="10"/>
        <v>356000</v>
      </c>
      <c r="H171" s="573">
        <f t="shared" si="11"/>
        <v>356000</v>
      </c>
      <c r="I171" s="573">
        <v>0</v>
      </c>
      <c r="J171" s="573">
        <v>356000</v>
      </c>
      <c r="K171" s="573">
        <f t="shared" si="12"/>
        <v>0</v>
      </c>
      <c r="L171" s="573">
        <v>0</v>
      </c>
      <c r="M171" s="573">
        <v>0</v>
      </c>
    </row>
    <row r="172" spans="1:13" s="578" customFormat="1" ht="30" customHeight="1">
      <c r="A172" s="1077"/>
      <c r="B172" s="1078"/>
      <c r="C172" s="1096"/>
      <c r="D172" s="1097"/>
      <c r="E172" s="1081" t="s">
        <v>988</v>
      </c>
      <c r="F172" s="1082"/>
      <c r="G172" s="546">
        <f>H172+K172</f>
        <v>200000</v>
      </c>
      <c r="H172" s="547">
        <f>I172+J172</f>
        <v>200000</v>
      </c>
      <c r="I172" s="547">
        <v>0</v>
      </c>
      <c r="J172" s="547">
        <v>200000</v>
      </c>
      <c r="K172" s="547">
        <f>L172+M172</f>
        <v>0</v>
      </c>
      <c r="L172" s="547">
        <v>0</v>
      </c>
      <c r="M172" s="547">
        <v>0</v>
      </c>
    </row>
    <row r="173" spans="1:13" s="578" customFormat="1" ht="30" customHeight="1">
      <c r="A173" s="1077"/>
      <c r="B173" s="1078"/>
      <c r="C173" s="1096"/>
      <c r="D173" s="1097"/>
      <c r="E173" s="1081" t="s">
        <v>989</v>
      </c>
      <c r="F173" s="1082"/>
      <c r="G173" s="546">
        <f>H173+K173</f>
        <v>50000</v>
      </c>
      <c r="H173" s="547">
        <f>I173+J173</f>
        <v>50000</v>
      </c>
      <c r="I173" s="547">
        <v>0</v>
      </c>
      <c r="J173" s="547">
        <v>50000</v>
      </c>
      <c r="K173" s="547">
        <f>L173+M173</f>
        <v>0</v>
      </c>
      <c r="L173" s="547">
        <v>0</v>
      </c>
      <c r="M173" s="547">
        <v>0</v>
      </c>
    </row>
    <row r="174" spans="1:13" s="500" customFormat="1" ht="18" customHeight="1">
      <c r="A174" s="1092"/>
      <c r="B174" s="1093"/>
      <c r="C174" s="1094"/>
      <c r="D174" s="1095"/>
      <c r="E174" s="1090" t="s">
        <v>990</v>
      </c>
      <c r="F174" s="1091"/>
      <c r="G174" s="572">
        <f>H174+K174</f>
        <v>100000</v>
      </c>
      <c r="H174" s="573">
        <f>I174+J174</f>
        <v>100000</v>
      </c>
      <c r="I174" s="573">
        <v>100000</v>
      </c>
      <c r="J174" s="573">
        <v>0</v>
      </c>
      <c r="K174" s="573">
        <f>L174+M174</f>
        <v>0</v>
      </c>
      <c r="L174" s="573">
        <v>0</v>
      </c>
      <c r="M174" s="573">
        <v>0</v>
      </c>
    </row>
    <row r="175" spans="1:13" s="578" customFormat="1" ht="30" customHeight="1">
      <c r="A175" s="1077"/>
      <c r="B175" s="1078"/>
      <c r="C175" s="1096"/>
      <c r="D175" s="1097"/>
      <c r="E175" s="1081" t="s">
        <v>991</v>
      </c>
      <c r="F175" s="1082"/>
      <c r="G175" s="546">
        <f t="shared" si="10"/>
        <v>260000</v>
      </c>
      <c r="H175" s="547">
        <f t="shared" si="11"/>
        <v>260000</v>
      </c>
      <c r="I175" s="547">
        <v>0</v>
      </c>
      <c r="J175" s="547">
        <v>260000</v>
      </c>
      <c r="K175" s="547">
        <f t="shared" si="12"/>
        <v>0</v>
      </c>
      <c r="L175" s="547">
        <v>0</v>
      </c>
      <c r="M175" s="547">
        <v>0</v>
      </c>
    </row>
    <row r="176" spans="1:13" s="578" customFormat="1" ht="30" customHeight="1">
      <c r="A176" s="1077"/>
      <c r="B176" s="1078"/>
      <c r="C176" s="1096"/>
      <c r="D176" s="1097"/>
      <c r="E176" s="1081" t="s">
        <v>992</v>
      </c>
      <c r="F176" s="1082"/>
      <c r="G176" s="546">
        <f t="shared" si="10"/>
        <v>450000</v>
      </c>
      <c r="H176" s="547">
        <f t="shared" si="11"/>
        <v>450000</v>
      </c>
      <c r="I176" s="547">
        <v>0</v>
      </c>
      <c r="J176" s="547">
        <v>450000</v>
      </c>
      <c r="K176" s="547">
        <f t="shared" si="12"/>
        <v>0</v>
      </c>
      <c r="L176" s="547">
        <v>0</v>
      </c>
      <c r="M176" s="547">
        <v>0</v>
      </c>
    </row>
    <row r="177" spans="1:13" s="578" customFormat="1" ht="30" customHeight="1">
      <c r="A177" s="1077"/>
      <c r="B177" s="1078"/>
      <c r="C177" s="1096"/>
      <c r="D177" s="1097"/>
      <c r="E177" s="1081" t="s">
        <v>993</v>
      </c>
      <c r="F177" s="1082"/>
      <c r="G177" s="546">
        <f t="shared" si="10"/>
        <v>450000</v>
      </c>
      <c r="H177" s="547">
        <f t="shared" si="11"/>
        <v>450000</v>
      </c>
      <c r="I177" s="547">
        <v>0</v>
      </c>
      <c r="J177" s="547">
        <v>450000</v>
      </c>
      <c r="K177" s="547">
        <f t="shared" si="12"/>
        <v>0</v>
      </c>
      <c r="L177" s="547">
        <v>0</v>
      </c>
      <c r="M177" s="547">
        <v>0</v>
      </c>
    </row>
    <row r="178" spans="1:13" s="578" customFormat="1" ht="40.5" customHeight="1">
      <c r="A178" s="1098"/>
      <c r="B178" s="1099"/>
      <c r="C178" s="1079"/>
      <c r="D178" s="1080"/>
      <c r="E178" s="1081" t="s">
        <v>994</v>
      </c>
      <c r="F178" s="1082"/>
      <c r="G178" s="546">
        <f>H178+K178</f>
        <v>130000</v>
      </c>
      <c r="H178" s="547">
        <f>I178+J178</f>
        <v>130000</v>
      </c>
      <c r="I178" s="547">
        <v>0</v>
      </c>
      <c r="J178" s="547">
        <v>130000</v>
      </c>
      <c r="K178" s="547">
        <f>L178+M178</f>
        <v>0</v>
      </c>
      <c r="L178" s="547">
        <v>0</v>
      </c>
      <c r="M178" s="547">
        <v>0</v>
      </c>
    </row>
    <row r="179" spans="1:13" s="500" customFormat="1" ht="18" customHeight="1">
      <c r="A179" s="1086" t="s">
        <v>406</v>
      </c>
      <c r="B179" s="1087"/>
      <c r="C179" s="1088" t="s">
        <v>800</v>
      </c>
      <c r="D179" s="1089"/>
      <c r="E179" s="1090" t="s">
        <v>995</v>
      </c>
      <c r="F179" s="1091"/>
      <c r="G179" s="570">
        <f t="shared" si="10"/>
        <v>2800000</v>
      </c>
      <c r="H179" s="571">
        <f t="shared" si="11"/>
        <v>0</v>
      </c>
      <c r="I179" s="571">
        <v>0</v>
      </c>
      <c r="J179" s="571">
        <v>0</v>
      </c>
      <c r="K179" s="571">
        <f t="shared" si="12"/>
        <v>2800000</v>
      </c>
      <c r="L179" s="571">
        <v>0</v>
      </c>
      <c r="M179" s="571">
        <v>2800000</v>
      </c>
    </row>
    <row r="180" spans="1:13" s="500" customFormat="1" ht="18" customHeight="1">
      <c r="A180" s="1092"/>
      <c r="B180" s="1093"/>
      <c r="C180" s="1094"/>
      <c r="D180" s="1095"/>
      <c r="E180" s="1090" t="s">
        <v>996</v>
      </c>
      <c r="F180" s="1091"/>
      <c r="G180" s="570">
        <f t="shared" si="10"/>
        <v>900000</v>
      </c>
      <c r="H180" s="571">
        <f t="shared" si="11"/>
        <v>0</v>
      </c>
      <c r="I180" s="571">
        <v>0</v>
      </c>
      <c r="J180" s="571">
        <v>0</v>
      </c>
      <c r="K180" s="571">
        <f t="shared" si="12"/>
        <v>900000</v>
      </c>
      <c r="L180" s="571">
        <v>0</v>
      </c>
      <c r="M180" s="571">
        <v>900000</v>
      </c>
    </row>
    <row r="181" spans="1:13" s="578" customFormat="1" ht="30" customHeight="1">
      <c r="A181" s="1077"/>
      <c r="B181" s="1078"/>
      <c r="C181" s="1079"/>
      <c r="D181" s="1080"/>
      <c r="E181" s="1081" t="s">
        <v>997</v>
      </c>
      <c r="F181" s="1082"/>
      <c r="G181" s="588">
        <f>H181+K181</f>
        <v>2000000</v>
      </c>
      <c r="H181" s="589">
        <f>I181+J181</f>
        <v>2000000</v>
      </c>
      <c r="I181" s="589">
        <v>2000000</v>
      </c>
      <c r="J181" s="589">
        <v>0</v>
      </c>
      <c r="K181" s="589">
        <f>L181+M181</f>
        <v>0</v>
      </c>
      <c r="L181" s="589">
        <v>0</v>
      </c>
      <c r="M181" s="589">
        <v>0</v>
      </c>
    </row>
    <row r="182" spans="1:13" s="566" customFormat="1" ht="5.25" customHeight="1" thickBot="1">
      <c r="A182" s="596"/>
      <c r="B182" s="597"/>
      <c r="C182" s="597"/>
      <c r="D182" s="597"/>
      <c r="E182" s="597"/>
      <c r="F182" s="597"/>
      <c r="G182" s="598"/>
      <c r="H182" s="599"/>
      <c r="I182" s="599"/>
      <c r="J182" s="599"/>
      <c r="K182" s="599"/>
      <c r="L182" s="599"/>
      <c r="M182" s="600"/>
    </row>
    <row r="183" spans="1:13" s="601" customFormat="1" ht="20.25" customHeight="1" thickBot="1">
      <c r="A183" s="1083" t="s">
        <v>238</v>
      </c>
      <c r="B183" s="1084"/>
      <c r="C183" s="1084"/>
      <c r="D183" s="1084"/>
      <c r="E183" s="1084"/>
      <c r="F183" s="1085"/>
      <c r="G183" s="526">
        <f aca="true" t="shared" si="13" ref="G183:M183">G12</f>
        <v>346276919</v>
      </c>
      <c r="H183" s="526">
        <f t="shared" si="13"/>
        <v>204004291</v>
      </c>
      <c r="I183" s="526">
        <f t="shared" si="13"/>
        <v>95769339</v>
      </c>
      <c r="J183" s="526">
        <f t="shared" si="13"/>
        <v>108234952</v>
      </c>
      <c r="K183" s="526">
        <f t="shared" si="13"/>
        <v>142272628</v>
      </c>
      <c r="L183" s="526">
        <f t="shared" si="13"/>
        <v>4797711</v>
      </c>
      <c r="M183" s="526">
        <f t="shared" si="13"/>
        <v>137474917</v>
      </c>
    </row>
    <row r="184" spans="1:13" s="500" customFormat="1" ht="3" customHeight="1">
      <c r="A184" s="602"/>
      <c r="B184" s="602"/>
      <c r="C184" s="602"/>
      <c r="D184" s="602"/>
      <c r="E184" s="603"/>
      <c r="F184" s="604"/>
      <c r="G184" s="605"/>
      <c r="H184" s="606"/>
      <c r="I184" s="606"/>
      <c r="J184" s="606"/>
      <c r="K184" s="606"/>
      <c r="L184" s="606"/>
      <c r="M184" s="606"/>
    </row>
    <row r="185" spans="1:5" ht="13.5" customHeight="1">
      <c r="A185" s="607" t="s">
        <v>998</v>
      </c>
      <c r="B185" s="608"/>
      <c r="C185" s="609"/>
      <c r="D185" s="608"/>
      <c r="E185" s="609"/>
    </row>
    <row r="186" spans="1:5" ht="13.5" customHeight="1">
      <c r="A186" s="614" t="s">
        <v>999</v>
      </c>
      <c r="B186" s="615"/>
      <c r="C186" s="616"/>
      <c r="D186" s="615"/>
      <c r="E186" s="616"/>
    </row>
  </sheetData>
  <sheetProtection password="C25B" sheet="1"/>
  <mergeCells count="427">
    <mergeCell ref="H1:J1"/>
    <mergeCell ref="K1:M1"/>
    <mergeCell ref="A4:M4"/>
    <mergeCell ref="A5:M5"/>
    <mergeCell ref="A7:B9"/>
    <mergeCell ref="C7:D9"/>
    <mergeCell ref="E7:F8"/>
    <mergeCell ref="G7:G9"/>
    <mergeCell ref="H7:J7"/>
    <mergeCell ref="K7:M7"/>
    <mergeCell ref="H8:H9"/>
    <mergeCell ref="K8:K9"/>
    <mergeCell ref="A10:B10"/>
    <mergeCell ref="C10:D10"/>
    <mergeCell ref="A12:F12"/>
    <mergeCell ref="A14:F14"/>
    <mergeCell ref="A16:B16"/>
    <mergeCell ref="C16:D16"/>
    <mergeCell ref="E16:F16"/>
    <mergeCell ref="A18:F18"/>
    <mergeCell ref="A20:F20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41:B41"/>
    <mergeCell ref="C41:D41"/>
    <mergeCell ref="E41:F41"/>
    <mergeCell ref="A42:B42"/>
    <mergeCell ref="C42:D42"/>
    <mergeCell ref="E42:F42"/>
    <mergeCell ref="A43:B43"/>
    <mergeCell ref="C43:D43"/>
    <mergeCell ref="E43:F43"/>
    <mergeCell ref="A44:B44"/>
    <mergeCell ref="C44:D44"/>
    <mergeCell ref="E44:F44"/>
    <mergeCell ref="A45:B45"/>
    <mergeCell ref="C45:D45"/>
    <mergeCell ref="E45:F45"/>
    <mergeCell ref="A46:B46"/>
    <mergeCell ref="C46:D46"/>
    <mergeCell ref="E46:F46"/>
    <mergeCell ref="A47:B47"/>
    <mergeCell ref="C47:D47"/>
    <mergeCell ref="E47:F47"/>
    <mergeCell ref="A48:B48"/>
    <mergeCell ref="C48:D48"/>
    <mergeCell ref="E48:F48"/>
    <mergeCell ref="A49:B49"/>
    <mergeCell ref="C49:D49"/>
    <mergeCell ref="E49:F49"/>
    <mergeCell ref="A50:B50"/>
    <mergeCell ref="C50:D50"/>
    <mergeCell ref="E50:F50"/>
    <mergeCell ref="A51:B51"/>
    <mergeCell ref="C51:D51"/>
    <mergeCell ref="E51:F51"/>
    <mergeCell ref="A52:B52"/>
    <mergeCell ref="C52:D52"/>
    <mergeCell ref="E52:F52"/>
    <mergeCell ref="A53:B53"/>
    <mergeCell ref="C53:D53"/>
    <mergeCell ref="E53:F53"/>
    <mergeCell ref="A54:B54"/>
    <mergeCell ref="C54:D54"/>
    <mergeCell ref="E54:F54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A58:B58"/>
    <mergeCell ref="C58:D58"/>
    <mergeCell ref="E58:F58"/>
    <mergeCell ref="A59:B59"/>
    <mergeCell ref="C59:D59"/>
    <mergeCell ref="E59:F59"/>
    <mergeCell ref="A60:B60"/>
    <mergeCell ref="C60:D60"/>
    <mergeCell ref="E60:F60"/>
    <mergeCell ref="A61:B61"/>
    <mergeCell ref="C61:D61"/>
    <mergeCell ref="E61:F61"/>
    <mergeCell ref="A62:B62"/>
    <mergeCell ref="C62:D62"/>
    <mergeCell ref="E62:F62"/>
    <mergeCell ref="A63:B63"/>
    <mergeCell ref="C63:D63"/>
    <mergeCell ref="E63:F63"/>
    <mergeCell ref="A64:B64"/>
    <mergeCell ref="C64:D64"/>
    <mergeCell ref="E64:F64"/>
    <mergeCell ref="A66:F66"/>
    <mergeCell ref="A68:F68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7:F107"/>
    <mergeCell ref="A109:B109"/>
    <mergeCell ref="C109:D109"/>
    <mergeCell ref="A110:B110"/>
    <mergeCell ref="C110:D110"/>
    <mergeCell ref="A112:F112"/>
    <mergeCell ref="A114:B114"/>
    <mergeCell ref="C114:D114"/>
    <mergeCell ref="E114:F114"/>
    <mergeCell ref="A116:F116"/>
    <mergeCell ref="A118:B118"/>
    <mergeCell ref="C118:D118"/>
    <mergeCell ref="E118:F118"/>
    <mergeCell ref="A119:B119"/>
    <mergeCell ref="C119:D119"/>
    <mergeCell ref="E119:F119"/>
    <mergeCell ref="A120:B120"/>
    <mergeCell ref="C120:D120"/>
    <mergeCell ref="E120:F120"/>
    <mergeCell ref="A121:B121"/>
    <mergeCell ref="C121:D121"/>
    <mergeCell ref="E121:F121"/>
    <mergeCell ref="A122:B122"/>
    <mergeCell ref="C122:D122"/>
    <mergeCell ref="E122:F122"/>
    <mergeCell ref="A123:B123"/>
    <mergeCell ref="C123:D123"/>
    <mergeCell ref="E123:F123"/>
    <mergeCell ref="A124:B124"/>
    <mergeCell ref="C124:D124"/>
    <mergeCell ref="E124:F124"/>
    <mergeCell ref="A125:B125"/>
    <mergeCell ref="C125:D125"/>
    <mergeCell ref="E125:F125"/>
    <mergeCell ref="A126:B126"/>
    <mergeCell ref="C126:D126"/>
    <mergeCell ref="E126:F126"/>
    <mergeCell ref="A127:B127"/>
    <mergeCell ref="C127:D127"/>
    <mergeCell ref="E127:F127"/>
    <mergeCell ref="A128:B128"/>
    <mergeCell ref="C128:D128"/>
    <mergeCell ref="E128:F128"/>
    <mergeCell ref="A129:B129"/>
    <mergeCell ref="C129:D129"/>
    <mergeCell ref="E129:F129"/>
    <mergeCell ref="A130:B130"/>
    <mergeCell ref="C130:D130"/>
    <mergeCell ref="E130:F130"/>
    <mergeCell ref="A131:B131"/>
    <mergeCell ref="C131:D131"/>
    <mergeCell ref="E131:F131"/>
    <mergeCell ref="A132:B132"/>
    <mergeCell ref="C132:D132"/>
    <mergeCell ref="E132:F132"/>
    <mergeCell ref="A133:B133"/>
    <mergeCell ref="C133:D133"/>
    <mergeCell ref="E133:F133"/>
    <mergeCell ref="A134:B134"/>
    <mergeCell ref="C134:D134"/>
    <mergeCell ref="E134:F134"/>
    <mergeCell ref="A135:B135"/>
    <mergeCell ref="C135:D135"/>
    <mergeCell ref="E135:F135"/>
    <mergeCell ref="A136:B136"/>
    <mergeCell ref="C136:D136"/>
    <mergeCell ref="E136:F136"/>
    <mergeCell ref="A137:B137"/>
    <mergeCell ref="C137:D137"/>
    <mergeCell ref="E137:F137"/>
    <mergeCell ref="A138:B138"/>
    <mergeCell ref="C138:D138"/>
    <mergeCell ref="E138:F138"/>
    <mergeCell ref="A139:B139"/>
    <mergeCell ref="C139:D139"/>
    <mergeCell ref="E139:F139"/>
    <mergeCell ref="A140:B140"/>
    <mergeCell ref="C140:D140"/>
    <mergeCell ref="E140:F140"/>
    <mergeCell ref="A141:B141"/>
    <mergeCell ref="C141:D141"/>
    <mergeCell ref="E141:F141"/>
    <mergeCell ref="A142:B142"/>
    <mergeCell ref="C142:D142"/>
    <mergeCell ref="E142:F142"/>
    <mergeCell ref="A143:B143"/>
    <mergeCell ref="C143:D143"/>
    <mergeCell ref="E143:F143"/>
    <mergeCell ref="A144:B144"/>
    <mergeCell ref="C144:D144"/>
    <mergeCell ref="E144:F144"/>
    <mergeCell ref="A145:B145"/>
    <mergeCell ref="C145:D145"/>
    <mergeCell ref="E145:F145"/>
    <mergeCell ref="A146:B146"/>
    <mergeCell ref="C146:D146"/>
    <mergeCell ref="E146:F146"/>
    <mergeCell ref="A147:B147"/>
    <mergeCell ref="C147:D147"/>
    <mergeCell ref="E147:F147"/>
    <mergeCell ref="A148:B148"/>
    <mergeCell ref="C148:D148"/>
    <mergeCell ref="E148:F148"/>
    <mergeCell ref="A149:B149"/>
    <mergeCell ref="C149:D149"/>
    <mergeCell ref="E149:F149"/>
    <mergeCell ref="A150:B150"/>
    <mergeCell ref="C150:D150"/>
    <mergeCell ref="E150:F150"/>
    <mergeCell ref="A151:B151"/>
    <mergeCell ref="C151:D151"/>
    <mergeCell ref="E151:F151"/>
    <mergeCell ref="A152:B152"/>
    <mergeCell ref="C152:D152"/>
    <mergeCell ref="E152:F152"/>
    <mergeCell ref="A153:B153"/>
    <mergeCell ref="C153:D153"/>
    <mergeCell ref="E153:F153"/>
    <mergeCell ref="A154:B154"/>
    <mergeCell ref="C154:D154"/>
    <mergeCell ref="E154:F154"/>
    <mergeCell ref="A155:B155"/>
    <mergeCell ref="C155:D155"/>
    <mergeCell ref="E155:F155"/>
    <mergeCell ref="A156:B156"/>
    <mergeCell ref="C156:D156"/>
    <mergeCell ref="E156:F156"/>
    <mergeCell ref="A157:B157"/>
    <mergeCell ref="C157:D157"/>
    <mergeCell ref="E157:F157"/>
    <mergeCell ref="A158:B158"/>
    <mergeCell ref="C158:D158"/>
    <mergeCell ref="E158:F158"/>
    <mergeCell ref="A159:B159"/>
    <mergeCell ref="C159:D159"/>
    <mergeCell ref="E159:F159"/>
    <mergeCell ref="A160:B160"/>
    <mergeCell ref="C160:D160"/>
    <mergeCell ref="E160:F160"/>
    <mergeCell ref="A161:B161"/>
    <mergeCell ref="C161:D161"/>
    <mergeCell ref="E161:F161"/>
    <mergeCell ref="A162:B162"/>
    <mergeCell ref="C162:D162"/>
    <mergeCell ref="E162:F162"/>
    <mergeCell ref="A163:B163"/>
    <mergeCell ref="C163:D163"/>
    <mergeCell ref="E163:F163"/>
    <mergeCell ref="A164:B164"/>
    <mergeCell ref="C164:D164"/>
    <mergeCell ref="E164:F164"/>
    <mergeCell ref="A165:B165"/>
    <mergeCell ref="C165:D165"/>
    <mergeCell ref="E165:F165"/>
    <mergeCell ref="A166:B166"/>
    <mergeCell ref="C166:D166"/>
    <mergeCell ref="E166:F166"/>
    <mergeCell ref="A167:B167"/>
    <mergeCell ref="C167:D167"/>
    <mergeCell ref="E167:F167"/>
    <mergeCell ref="A168:B168"/>
    <mergeCell ref="C168:D168"/>
    <mergeCell ref="E168:F168"/>
    <mergeCell ref="A169:B169"/>
    <mergeCell ref="C169:D169"/>
    <mergeCell ref="E169:F169"/>
    <mergeCell ref="A170:B170"/>
    <mergeCell ref="C170:D170"/>
    <mergeCell ref="E170:F170"/>
    <mergeCell ref="A171:B171"/>
    <mergeCell ref="C171:D171"/>
    <mergeCell ref="E171:F171"/>
    <mergeCell ref="A172:B172"/>
    <mergeCell ref="C172:D172"/>
    <mergeCell ref="E172:F172"/>
    <mergeCell ref="A173:B173"/>
    <mergeCell ref="C173:D173"/>
    <mergeCell ref="E173:F173"/>
    <mergeCell ref="A174:B174"/>
    <mergeCell ref="C174:D174"/>
    <mergeCell ref="E174:F174"/>
    <mergeCell ref="A175:B175"/>
    <mergeCell ref="C175:D175"/>
    <mergeCell ref="E175:F175"/>
    <mergeCell ref="A176:B176"/>
    <mergeCell ref="C176:D176"/>
    <mergeCell ref="E176:F176"/>
    <mergeCell ref="A177:B177"/>
    <mergeCell ref="C177:D177"/>
    <mergeCell ref="E177:F177"/>
    <mergeCell ref="A178:B178"/>
    <mergeCell ref="C178:D178"/>
    <mergeCell ref="E178:F178"/>
    <mergeCell ref="A181:B181"/>
    <mergeCell ref="C181:D181"/>
    <mergeCell ref="E181:F181"/>
    <mergeCell ref="A183:F183"/>
    <mergeCell ref="A179:B179"/>
    <mergeCell ref="C179:D179"/>
    <mergeCell ref="E179:F179"/>
    <mergeCell ref="A180:B180"/>
    <mergeCell ref="C180:D180"/>
    <mergeCell ref="E180:F180"/>
  </mergeCells>
  <printOptions horizontalCentered="1"/>
  <pageMargins left="0.5905511811023623" right="0.5905511811023623" top="0.984251968503937" bottom="0.7480314960629921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b.bulak</dc:creator>
  <cp:keywords/>
  <dc:description/>
  <cp:lastModifiedBy>Anna Sobierajska</cp:lastModifiedBy>
  <cp:lastPrinted>2018-11-13T12:57:28Z</cp:lastPrinted>
  <dcterms:created xsi:type="dcterms:W3CDTF">2010-11-02T12:16:55Z</dcterms:created>
  <dcterms:modified xsi:type="dcterms:W3CDTF">2018-11-26T07:58:01Z</dcterms:modified>
  <cp:category/>
  <cp:version/>
  <cp:contentType/>
  <cp:contentStatus/>
</cp:coreProperties>
</file>